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896" i="1" l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<sst xmlns="http://schemas.openxmlformats.org/spreadsheetml/2006/main" count="4788" uniqueCount="2742">
  <si>
    <t>ΠΛΗΡΩΣΗ ΘΕΣΕΩΝ ΜΕ ΣΕΙΡΑ ΠΡΟΤΕΡΑΙΟΤΗΤΑΣ (ΑΡΘΡΟ 18/Ν. 2190/1994) ΠΡΟΚΗΡΥΞΗ : 11Κ/2017</t>
  </si>
  <si>
    <t>ΣΕΙΡΑ ΚΑΤΑΤΑΞΗΣ (ΚΥΡΙΟΣ)</t>
  </si>
  <si>
    <t>ΔΕΥΤΕΡΟΒΑΘΜΙΑΣ ΕΚΠΑΙΔΕΥΣΗΣ (ΔΕ)</t>
  </si>
  <si>
    <t>ΓΕΝΙΚΕΣ ΘΕΣΕΙΣ ΜΕ ΕΜΠΕΙΡΙΑ</t>
  </si>
  <si>
    <t>ΔΕ ΚΑΤΑΜΕΤΡΗΤΩΝ (ΘΕΣΗ 400)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</si>
  <si>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</si>
  <si>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</si>
  <si>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</si>
  <si>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</si>
  <si>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</si>
  <si>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</si>
  <si>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</si>
  <si>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</si>
  <si>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ΜΑΚΡΗΣ</t>
  </si>
  <si>
    <t>ΦΙΛΙΠΠΟΣ</t>
  </si>
  <si>
    <t>ΓΕΩΡΓΙΟΣ</t>
  </si>
  <si>
    <t>ΑΚ673637</t>
  </si>
  <si>
    <t>1081,3</t>
  </si>
  <si>
    <t>1899,3</t>
  </si>
  <si>
    <t>ΚΟΝΤΗ</t>
  </si>
  <si>
    <t>ΠΑΝΑΓΙΩΤΑ</t>
  </si>
  <si>
    <t>ΧΡΗΣΤΟΣ</t>
  </si>
  <si>
    <t>Χ058230</t>
  </si>
  <si>
    <t>1072,5</t>
  </si>
  <si>
    <t>1830,5</t>
  </si>
  <si>
    <t>ΠΑΝΑΓΙΩΤΙΔΟΥ</t>
  </si>
  <si>
    <t>ΦΩΤΕΙΝΗ</t>
  </si>
  <si>
    <t>ΙΩΑΝΝΗΣ</t>
  </si>
  <si>
    <t>ΑΗ691265</t>
  </si>
  <si>
    <t>994,4</t>
  </si>
  <si>
    <t>1802,4</t>
  </si>
  <si>
    <t>ΑΝΤΩΝΟΠΟΥΛΟΥ</t>
  </si>
  <si>
    <t>ΝΙΚΟΛΙΤΣΑ</t>
  </si>
  <si>
    <t>ΜΙΧΑΗΛ</t>
  </si>
  <si>
    <t>ΑΗ707748</t>
  </si>
  <si>
    <t>1039,5</t>
  </si>
  <si>
    <t>1797,5</t>
  </si>
  <si>
    <t>ΓΡΑΜΜΕΝΟΥ</t>
  </si>
  <si>
    <t>ΕΥΦΡΟΣΥΝΗ</t>
  </si>
  <si>
    <t>ΘΕΟΔΩΡΟΣ</t>
  </si>
  <si>
    <t>Χ049474</t>
  </si>
  <si>
    <t>1006,5</t>
  </si>
  <si>
    <t>1764,5</t>
  </si>
  <si>
    <t>ΚΑΡΥΠΙΔΟΥ</t>
  </si>
  <si>
    <t>ΟΥΡΑΝΙΑ</t>
  </si>
  <si>
    <t>ΚΟΣΜΑΣ</t>
  </si>
  <si>
    <t>ΑΜ898884</t>
  </si>
  <si>
    <t>1747,5</t>
  </si>
  <si>
    <t>ΜΥΡΙΟΥΝΗΣ</t>
  </si>
  <si>
    <t>ΝΙΚΟΛΑΟΣ</t>
  </si>
  <si>
    <t>ΑΛΕΞΑΝΔΡΟΣ</t>
  </si>
  <si>
    <t>ΚΑΝΕΛΛΗΣ</t>
  </si>
  <si>
    <t>ΓΡΗΓΟΡΙΟΣ</t>
  </si>
  <si>
    <t>ΠΕΡΙΚΛΗΣ</t>
  </si>
  <si>
    <t>ΑΖ204769</t>
  </si>
  <si>
    <t>1049,4</t>
  </si>
  <si>
    <t>1737,4</t>
  </si>
  <si>
    <t>ΚΟΥΓΙΟΥΜΤΖΗ</t>
  </si>
  <si>
    <t>ΡΑΛΛΙΩ</t>
  </si>
  <si>
    <t>ΠΑΝΑΓΙΩΤΗΣ</t>
  </si>
  <si>
    <t>Τ092068</t>
  </si>
  <si>
    <t>ΣΤΑΘΑΚΗ</t>
  </si>
  <si>
    <t>ΚΑΤΕΡΙΝΑ</t>
  </si>
  <si>
    <t>ΑΓΓΕΛΗΣ</t>
  </si>
  <si>
    <t>Χ558732</t>
  </si>
  <si>
    <t>ΕΥΑΓΓΕΛΟΠΟΥΛΟΣ</t>
  </si>
  <si>
    <t>ΠΟΛΥΧΡΟΝΗΣ</t>
  </si>
  <si>
    <t>ΑΙ318395</t>
  </si>
  <si>
    <t>1028,5</t>
  </si>
  <si>
    <t>1716,5</t>
  </si>
  <si>
    <t>ΓΙΑΝΝΑΚΟΠΟΥΛΟΣ</t>
  </si>
  <si>
    <t>ΔΗΜΗΤΡΙΟΣ</t>
  </si>
  <si>
    <t>ΑΙ135388</t>
  </si>
  <si>
    <t>ΑΛΕΞΟΠΟΥΛΟΥ</t>
  </si>
  <si>
    <t>ΚΩΝΣΤΑΝΤΙΝΑ</t>
  </si>
  <si>
    <t>ΑΗ710253</t>
  </si>
  <si>
    <t>400-401</t>
  </si>
  <si>
    <t>ΜΙΧΟΥ</t>
  </si>
  <si>
    <t>ΕΥΓΕΝΙΑ</t>
  </si>
  <si>
    <t>Χ594900</t>
  </si>
  <si>
    <t>ΤΡΥΦΩΝΗ</t>
  </si>
  <si>
    <t>ΚΥΡΙΑΚΗ</t>
  </si>
  <si>
    <t>ΣΩΤΗΡΙΟΣ</t>
  </si>
  <si>
    <t>Σ684545</t>
  </si>
  <si>
    <t>1050,5</t>
  </si>
  <si>
    <t>1708,5</t>
  </si>
  <si>
    <t>ΤΣΑΚΟΣ</t>
  </si>
  <si>
    <t>ΑΝΤΩΝΙΟΣ</t>
  </si>
  <si>
    <t>ΑΜ361081</t>
  </si>
  <si>
    <t>1697,5</t>
  </si>
  <si>
    <t>ΠΕΤΡΑ</t>
  </si>
  <si>
    <t>ΕΥΘΥΜΙΑ</t>
  </si>
  <si>
    <t>ΕΥΣΤΑΘΙΟΣ</t>
  </si>
  <si>
    <t>ΑΚ596465</t>
  </si>
  <si>
    <t>ΠΑΤΣΙΟΛΑΣ</t>
  </si>
  <si>
    <t>ΑΖ794905</t>
  </si>
  <si>
    <t>ΠΑΠΑΔΗΜΗΤΡΙΟΥ</t>
  </si>
  <si>
    <t>ΔΗΜΗΤΡΑ</t>
  </si>
  <si>
    <t>ΕΠΑΜΕΙΝΩΝΔΑΣ</t>
  </si>
  <si>
    <t>ΑΗ218622</t>
  </si>
  <si>
    <t>1686,5</t>
  </si>
  <si>
    <t>ΒΑΣΙΛΑΚΟΥ</t>
  </si>
  <si>
    <t>ΕΥΤΥΧΙΑ</t>
  </si>
  <si>
    <t>Φ477532</t>
  </si>
  <si>
    <t>1678,5</t>
  </si>
  <si>
    <t>ΦΩΚΑΣ</t>
  </si>
  <si>
    <t>ΣΠΥΡΙΔΩΝ</t>
  </si>
  <si>
    <t>Φ439524</t>
  </si>
  <si>
    <t>1019,7</t>
  </si>
  <si>
    <t>1677,7</t>
  </si>
  <si>
    <t>ΚΑΡΑΜΑΝΩΛΗ</t>
  </si>
  <si>
    <t>ΕΙΡΗΝΗ</t>
  </si>
  <si>
    <t>ΑΡΙΣΤΕΙΔΗΣ</t>
  </si>
  <si>
    <t>ΑΜ738282</t>
  </si>
  <si>
    <t>918,5</t>
  </si>
  <si>
    <t>1676,5</t>
  </si>
  <si>
    <t>ΝΤΟΓΚΑ</t>
  </si>
  <si>
    <t>ΧΡΙΣΤΙΝΑ ΕΙΡΗΝΗ</t>
  </si>
  <si>
    <t>ΜΑΡΙΝΟΣ</t>
  </si>
  <si>
    <t>Φ350446</t>
  </si>
  <si>
    <t>1017,5</t>
  </si>
  <si>
    <t>1675,5</t>
  </si>
  <si>
    <t>ΜΑΡΙΑΓΚΑΚΟΥ</t>
  </si>
  <si>
    <t>ΑΙ741126</t>
  </si>
  <si>
    <t>ΚΡΙΤΣΩΤΑΚΗ</t>
  </si>
  <si>
    <t>ΧΡΙΣΤΙΝΑ</t>
  </si>
  <si>
    <t>ΠΡΟΔΡΟΜΟΣ</t>
  </si>
  <si>
    <t>Σ548552</t>
  </si>
  <si>
    <t>834,9</t>
  </si>
  <si>
    <t>1672,9</t>
  </si>
  <si>
    <t>ΓΩΤΗΣ</t>
  </si>
  <si>
    <t>ΛΟΥΚΑΣ</t>
  </si>
  <si>
    <t>ΔΙΟΝΥΣΙΟΣ</t>
  </si>
  <si>
    <t>ΑΙ049294</t>
  </si>
  <si>
    <t>864,6</t>
  </si>
  <si>
    <t>1672,6</t>
  </si>
  <si>
    <t>ΧΑΡΑΒΙΤΣΙΔΟΥ</t>
  </si>
  <si>
    <t>ΒΑΡΒΑΡΑ</t>
  </si>
  <si>
    <t>ΑΡΙΣΤΟΤΕΛΗΣ</t>
  </si>
  <si>
    <t>ΑΑ480400</t>
  </si>
  <si>
    <t>ΣΕΡΕΤΗΣ</t>
  </si>
  <si>
    <t>Τ987009</t>
  </si>
  <si>
    <t>ΠΑΛΛΑ</t>
  </si>
  <si>
    <t>ΜΑΡΙΑ ΕΥΘΥΜΙΑ</t>
  </si>
  <si>
    <t>ΘΩΜΑΣ</t>
  </si>
  <si>
    <t>ΑΚ977237</t>
  </si>
  <si>
    <t>ΝΙΚΟΛΟΥ</t>
  </si>
  <si>
    <t>ΠΗΓΗ</t>
  </si>
  <si>
    <t>ΑΗ595094</t>
  </si>
  <si>
    <t>ΡΩΜΗΟΣ</t>
  </si>
  <si>
    <t>ΚΥΡΙΑΚΟΣ</t>
  </si>
  <si>
    <t>ΑΜ549183</t>
  </si>
  <si>
    <t>1668,5</t>
  </si>
  <si>
    <t>ΣΚΑΤΖΟΥΡΗΣ</t>
  </si>
  <si>
    <t>ΛΑΜΠΡΟΣ</t>
  </si>
  <si>
    <t>ΑΖ874027</t>
  </si>
  <si>
    <t>ΔΑΛΑΚΟΥΡΑ</t>
  </si>
  <si>
    <t>ΣΟΦΙΑ</t>
  </si>
  <si>
    <t>ΑΘΑΝΑΣΙΟΣ</t>
  </si>
  <si>
    <t>Χ412431</t>
  </si>
  <si>
    <t>ΜΠΛΕΣΙΟΣ</t>
  </si>
  <si>
    <t>ΑΖ554041</t>
  </si>
  <si>
    <t>ΜΠΟΥΡΟΣ</t>
  </si>
  <si>
    <t>ΕΥΑΓΓΕΛΟΣ</t>
  </si>
  <si>
    <t>Φ002215</t>
  </si>
  <si>
    <t>ΚΑΡΠΑΤΣΗ</t>
  </si>
  <si>
    <t>ΚΩΣΤΑΚΗΣ</t>
  </si>
  <si>
    <t>ΑΗ599694</t>
  </si>
  <si>
    <t>953,7</t>
  </si>
  <si>
    <t>1661,7</t>
  </si>
  <si>
    <t>ΚΕΦΑΛΛΗΝΟΥ</t>
  </si>
  <si>
    <t>ΕΥΜΟΡΦΙΑ</t>
  </si>
  <si>
    <t>ΣΠΥΡΙΔΩΝ ΝΙΚΟΛΑΟΣ</t>
  </si>
  <si>
    <t>ΑΚ001963</t>
  </si>
  <si>
    <t>973,5</t>
  </si>
  <si>
    <t>1661,5</t>
  </si>
  <si>
    <t>ΡΟΚΑΝΑ</t>
  </si>
  <si>
    <t>ΒΑΣΙΛΙΚΗ</t>
  </si>
  <si>
    <t>ΑΖ023480</t>
  </si>
  <si>
    <t>ΚΑΡΑΒΙΔΑ</t>
  </si>
  <si>
    <t>ΜΑΡΙΑ</t>
  </si>
  <si>
    <t>Χ220766</t>
  </si>
  <si>
    <t>ΚΟΝΤΡΑΡΟΣ</t>
  </si>
  <si>
    <t>ΑΙ077999</t>
  </si>
  <si>
    <t>975,7</t>
  </si>
  <si>
    <t>1659,7</t>
  </si>
  <si>
    <t>ΗΛΙΟΠΟΥΛΟΥ</t>
  </si>
  <si>
    <t>ΕΥΑΓΓΕΛΙΑ</t>
  </si>
  <si>
    <t>ΑΙ108969</t>
  </si>
  <si>
    <t>1061,5</t>
  </si>
  <si>
    <t>1658,5</t>
  </si>
  <si>
    <t>ΚΑΝΑΒΕΤΑ</t>
  </si>
  <si>
    <t>ΕΛΕΝΗ</t>
  </si>
  <si>
    <t>ΑΒ665742</t>
  </si>
  <si>
    <t>962,5</t>
  </si>
  <si>
    <t>ΕΥΣΤΡΑΤΙΟΣ</t>
  </si>
  <si>
    <t>Τ954018</t>
  </si>
  <si>
    <t>ΠΑΠΑΝΑΣΤΑΣΙΟΥ</t>
  </si>
  <si>
    <t>ΑΙ286557</t>
  </si>
  <si>
    <t>ΜΠΕΛΕΓΡΑΤΗΣ</t>
  </si>
  <si>
    <t>ΧΑΡΑΛΑΜΠΟΣ</t>
  </si>
  <si>
    <t>ΑΒ195616</t>
  </si>
  <si>
    <t>1655,5</t>
  </si>
  <si>
    <t>ΠΟΛΥΧΡΟΝΟΠΟΥΛΟΥ</t>
  </si>
  <si>
    <t>ΚΑΛΟΜΟΙΡΑ</t>
  </si>
  <si>
    <t>ΑΚ048856</t>
  </si>
  <si>
    <t>ΤΟΥΛΟΥΠΗ</t>
  </si>
  <si>
    <t>Φ099117</t>
  </si>
  <si>
    <t>ΚΟΛΙΟΥ</t>
  </si>
  <si>
    <t>ΚΩΝΣΤΑΝΤΙΝΟΣ</t>
  </si>
  <si>
    <t>ΑΗ013667</t>
  </si>
  <si>
    <t>ΜΥΡΩΔΗ</t>
  </si>
  <si>
    <t>ΑΛΕΞΑΝΔΡΑ</t>
  </si>
  <si>
    <t>ΘΕΟΛΟΓΟΣ</t>
  </si>
  <si>
    <t>ΑΙ390371</t>
  </si>
  <si>
    <t>1649,5</t>
  </si>
  <si>
    <t>ΚΩΣΤΟΠΟΥΛΟΣ</t>
  </si>
  <si>
    <t>ΑΒ605459</t>
  </si>
  <si>
    <t>841,5</t>
  </si>
  <si>
    <t>ΡΟΥΜΕΛΙΩΤΗ</t>
  </si>
  <si>
    <t>ΧΡΥΣΟΥΛΑ</t>
  </si>
  <si>
    <t>ΑΗ110848</t>
  </si>
  <si>
    <t>1026,3</t>
  </si>
  <si>
    <t>1649,3</t>
  </si>
  <si>
    <t>ΣΤΡΙΜΠΑΚΟΥ</t>
  </si>
  <si>
    <t>ΑΙ138268</t>
  </si>
  <si>
    <t>940,5</t>
  </si>
  <si>
    <t>1648,5</t>
  </si>
  <si>
    <t>ΤΟΥΓΟΥΝΤΖΟΓΛΟΥ</t>
  </si>
  <si>
    <t>ΕΥΘΥΜΙΟΣ</t>
  </si>
  <si>
    <t>ΑΕ796957</t>
  </si>
  <si>
    <t>ΚΟΥΤΣΙΑΡΗ</t>
  </si>
  <si>
    <t>ΑΙ314664</t>
  </si>
  <si>
    <t>ΤΣΙΡΒΟΥΛΗ</t>
  </si>
  <si>
    <t>ΑΜ125512</t>
  </si>
  <si>
    <t>995,5</t>
  </si>
  <si>
    <t>1643,5</t>
  </si>
  <si>
    <t>ΧΑΡΕΛΑ</t>
  </si>
  <si>
    <t>ΜΑΡΚΟΣ</t>
  </si>
  <si>
    <t>Χ393617</t>
  </si>
  <si>
    <t>ΠΕΤΡΑΚΗ</t>
  </si>
  <si>
    <t>ΕΜΜΑΝΟΥΗΛ</t>
  </si>
  <si>
    <t>ΑΙ508801</t>
  </si>
  <si>
    <t>ΠΑΠΑΘΑΝΑΣΟΠΟΥΛΟΣ</t>
  </si>
  <si>
    <t>Φ071377</t>
  </si>
  <si>
    <t>1640,5</t>
  </si>
  <si>
    <t>ΚΑΡΑΓΕΩΡΓΗ</t>
  </si>
  <si>
    <t>ΕΛΕΥΘΕΡΙΑ</t>
  </si>
  <si>
    <t>ΑΖ604158</t>
  </si>
  <si>
    <t>951,5</t>
  </si>
  <si>
    <t>ΤΣΟΛΙΔΗ</t>
  </si>
  <si>
    <t>ΑΝΝΑ</t>
  </si>
  <si>
    <t>ΑΒ044859</t>
  </si>
  <si>
    <t>936,1</t>
  </si>
  <si>
    <t>1640,1</t>
  </si>
  <si>
    <t>ΡΑΠΤΗ</t>
  </si>
  <si>
    <t>Χ045331</t>
  </si>
  <si>
    <t>ΓΕΡΑΛΗ</t>
  </si>
  <si>
    <t>ΑΖ486886</t>
  </si>
  <si>
    <t>865,7</t>
  </si>
  <si>
    <t>1633,7</t>
  </si>
  <si>
    <t>ΚΟΥΤΟΥΠΗ</t>
  </si>
  <si>
    <t>ΣΤΑΥΡΟΥΛΑ</t>
  </si>
  <si>
    <t>ΗΛΙΑΣ</t>
  </si>
  <si>
    <t>Τ391861</t>
  </si>
  <si>
    <t>1632,5</t>
  </si>
  <si>
    <t>ΚΟΥΡΟΥΜΠΑΛΗ</t>
  </si>
  <si>
    <t>ΑΑ415448</t>
  </si>
  <si>
    <t>ΤΖΟΓΑΝΗΣ</t>
  </si>
  <si>
    <t>ΦΩΤΙΟΣ</t>
  </si>
  <si>
    <t>ΑΚ936044</t>
  </si>
  <si>
    <t>ΜΠΑΡΜΠΕΡΗΣ</t>
  </si>
  <si>
    <t>ΠΑΝΤΕΛΗΣ</t>
  </si>
  <si>
    <t>ΑΗ076290</t>
  </si>
  <si>
    <t>ΤΣΙΑΓΚΡΑΣ</t>
  </si>
  <si>
    <t>ΑΙ113404</t>
  </si>
  <si>
    <t>1620,5</t>
  </si>
  <si>
    <t>ΣΟΥΡΛΑ</t>
  </si>
  <si>
    <t>ΑΙ679005</t>
  </si>
  <si>
    <t>1007,6</t>
  </si>
  <si>
    <t>1619,6</t>
  </si>
  <si>
    <t>ΜΩΥΣΙΑΔΟΥ</t>
  </si>
  <si>
    <t>ΒΑΣΙΛΕΙΑ</t>
  </si>
  <si>
    <t>ΑΡΤΕΜΙΟΣ</t>
  </si>
  <si>
    <t>ΑΒ306976</t>
  </si>
  <si>
    <t>929,5</t>
  </si>
  <si>
    <t>1617,5</t>
  </si>
  <si>
    <t>ΑΓΓΕΛΑΚΗ</t>
  </si>
  <si>
    <t>ΣΟΥΛΤΑΝΑ</t>
  </si>
  <si>
    <t>Χ407081</t>
  </si>
  <si>
    <t>ΓΚΑΒΟΥ</t>
  </si>
  <si>
    <t>ΑΝΔΡΕΑΣ</t>
  </si>
  <si>
    <t>ΑΑ315015</t>
  </si>
  <si>
    <t>939,4</t>
  </si>
  <si>
    <t>1616,4</t>
  </si>
  <si>
    <t>ΔΙΑΚΟΓΙΑΝΝΗΣ</t>
  </si>
  <si>
    <t>ΑΚ654767</t>
  </si>
  <si>
    <t>ΕΥΑΓΓΕΛΙΔΟΥ</t>
  </si>
  <si>
    <t>ΓΕΩΡΓΙΑ</t>
  </si>
  <si>
    <t>ΠΕΤΡΟΣ</t>
  </si>
  <si>
    <t>ΑΒ552403</t>
  </si>
  <si>
    <t>1613,5</t>
  </si>
  <si>
    <t>ΠΙΑΣΤΟΠΟΥΛΟΥ</t>
  </si>
  <si>
    <t>ΙΝΑ</t>
  </si>
  <si>
    <t>Χ604597</t>
  </si>
  <si>
    <t>ΚΑΡΑΜΠΙΝΗ</t>
  </si>
  <si>
    <t>ΑΕ939476</t>
  </si>
  <si>
    <t>819,5</t>
  </si>
  <si>
    <t>1610,5</t>
  </si>
  <si>
    <t>ΧΟΝΤΖΙΑ</t>
  </si>
  <si>
    <t>ΑΙ845770</t>
  </si>
  <si>
    <t>1609,5</t>
  </si>
  <si>
    <t>ΣΤΟΥΠΗ</t>
  </si>
  <si>
    <t>ΙΩΑΝΝΑ</t>
  </si>
  <si>
    <t>Χ033166</t>
  </si>
  <si>
    <t>1608,5</t>
  </si>
  <si>
    <t>ΝΙΠΠΗΣ</t>
  </si>
  <si>
    <t>Σ567184</t>
  </si>
  <si>
    <t>ΝΙΚΟΛΑΝΤΩΝΑΚΗ</t>
  </si>
  <si>
    <t>ΜΕΛΠΟΜΕΝΗ</t>
  </si>
  <si>
    <t>ΑΙ441157</t>
  </si>
  <si>
    <t>ΠΟΥΛΟΠΟΥΛΟΣ</t>
  </si>
  <si>
    <t>ΙΩΑΝΝΗΣ-ΛΕΩΝΙΔΑΣ</t>
  </si>
  <si>
    <t>ΑΖ517233</t>
  </si>
  <si>
    <t>1603,5</t>
  </si>
  <si>
    <t>ΒΟΥΛΒΟΥΤΖΗ</t>
  </si>
  <si>
    <t>ΛΕΜΟΝΙΑ</t>
  </si>
  <si>
    <t>ΑΙ066369</t>
  </si>
  <si>
    <t>ΠΑΠΑΧΡΗΣΤΟΣ</t>
  </si>
  <si>
    <t>ΠΟΛΥΖΟΣ</t>
  </si>
  <si>
    <t>Φ065217</t>
  </si>
  <si>
    <t>ΜΑΝΔΑΛΟΥ</t>
  </si>
  <si>
    <t>ΙΣΜΗΝΗ</t>
  </si>
  <si>
    <t>ΑΚ553082</t>
  </si>
  <si>
    <t>ΚΑΛΟΓΗΡΟΥ</t>
  </si>
  <si>
    <t>ΑΜ091368</t>
  </si>
  <si>
    <t>1600,5</t>
  </si>
  <si>
    <t>ΚΟΛΛΙΑ</t>
  </si>
  <si>
    <t>Φ064538</t>
  </si>
  <si>
    <t>ΒΕΡΓΟΣ</t>
  </si>
  <si>
    <t>Σ079846</t>
  </si>
  <si>
    <t>1598,5</t>
  </si>
  <si>
    <t>ΚΥΡΙΑΚΟΥ</t>
  </si>
  <si>
    <t>ΔΕΣΠΟΙΝΑ</t>
  </si>
  <si>
    <t>ΑΖ501522</t>
  </si>
  <si>
    <t>Μάλαμα</t>
  </si>
  <si>
    <t xml:space="preserve">Θεοδώρα </t>
  </si>
  <si>
    <t>Χ115890</t>
  </si>
  <si>
    <t>ΚΥΡΩΣΗ</t>
  </si>
  <si>
    <t>ΑΗ143408</t>
  </si>
  <si>
    <t>ΦΥΣΕΚΗ</t>
  </si>
  <si>
    <t>Χ585978</t>
  </si>
  <si>
    <t>797,5</t>
  </si>
  <si>
    <t>1595,5</t>
  </si>
  <si>
    <t>ΓΙΑΝΝΙΣΗΣ</t>
  </si>
  <si>
    <t>ΑΝ131504</t>
  </si>
  <si>
    <t>786,5</t>
  </si>
  <si>
    <t>1594,5</t>
  </si>
  <si>
    <t>Τσάμη</t>
  </si>
  <si>
    <t>Ανδρεάνα</t>
  </si>
  <si>
    <t>Δημήτριος</t>
  </si>
  <si>
    <t>AE051302</t>
  </si>
  <si>
    <t>ΖΑΦΕΙΡΟΥΛΗ</t>
  </si>
  <si>
    <t>ΑΙΚΑΤΕΡΙΝΗ</t>
  </si>
  <si>
    <t>ΑΚ965657</t>
  </si>
  <si>
    <t>1591,5</t>
  </si>
  <si>
    <t>ΒΑΣΣΗΣ</t>
  </si>
  <si>
    <t>ΑΚ462807</t>
  </si>
  <si>
    <t>ΚΑΣΤΑΝΑΣ</t>
  </si>
  <si>
    <t>ΜΙΛΤΙΑΔΗΣ</t>
  </si>
  <si>
    <t>Χ696620</t>
  </si>
  <si>
    <t>971,3</t>
  </si>
  <si>
    <t>1589,3</t>
  </si>
  <si>
    <t>ΤΕΛΕΟΡΙΔΗΣ</t>
  </si>
  <si>
    <t>ΑΙ588359</t>
  </si>
  <si>
    <t>ΠΕΡΑΧΩΡΙΤΗ</t>
  </si>
  <si>
    <t>ΣΩΤΗΡΙΑ</t>
  </si>
  <si>
    <t>ΑΕ735704</t>
  </si>
  <si>
    <t>970,2</t>
  </si>
  <si>
    <t>1588,2</t>
  </si>
  <si>
    <t>ΜΑΙΤΟΣ</t>
  </si>
  <si>
    <t>Φ284463</t>
  </si>
  <si>
    <t>1587,5</t>
  </si>
  <si>
    <t>ΜΑΡΝΕΛΑΚΗΣ</t>
  </si>
  <si>
    <t>ΑΗ957871</t>
  </si>
  <si>
    <t>928,4</t>
  </si>
  <si>
    <t>1586,4</t>
  </si>
  <si>
    <t>ΚΟΝΤΟΔΙΑΚΟΥ</t>
  </si>
  <si>
    <t>ΕΛΠΙΔΑ</t>
  </si>
  <si>
    <t>Φ254173</t>
  </si>
  <si>
    <t>ΚΟΥΡΑΚΟΥ</t>
  </si>
  <si>
    <t>ΑΖ228517</t>
  </si>
  <si>
    <t>ΔΑΓΛΑΣ</t>
  </si>
  <si>
    <t>ΑΚ509197</t>
  </si>
  <si>
    <t>896,5</t>
  </si>
  <si>
    <t>1584,5</t>
  </si>
  <si>
    <t>ΚΟΡΜΑΝΙΩΤΗ</t>
  </si>
  <si>
    <t>ΑΙ525517</t>
  </si>
  <si>
    <t>ΔΑΖΑΝΗ</t>
  </si>
  <si>
    <t>ΑΜ368841</t>
  </si>
  <si>
    <t>ΦΟΥΝΤΟΥΛΗ</t>
  </si>
  <si>
    <t>ΑΓΓΕΛΙΚΗ</t>
  </si>
  <si>
    <t>ΑΗ130450</t>
  </si>
  <si>
    <t>ΤΣΙΑΝΤΕ</t>
  </si>
  <si>
    <t>ΣΤΥΛΙΑΝΗ</t>
  </si>
  <si>
    <t>ΑΗ554925</t>
  </si>
  <si>
    <t>ΒΑΤΙΣΤΑΣ</t>
  </si>
  <si>
    <t>ΑΙ112678</t>
  </si>
  <si>
    <t>ΒΑΣΙΛΕΙΟΣ</t>
  </si>
  <si>
    <t>ΑΕ798723</t>
  </si>
  <si>
    <t>984,5</t>
  </si>
  <si>
    <t>1580,5</t>
  </si>
  <si>
    <t>ΜΠΙΜΠΟΥ</t>
  </si>
  <si>
    <t>ΠΑΡΑΣΚΕΥΗ</t>
  </si>
  <si>
    <t>ΠΑΥΛΟΣ</t>
  </si>
  <si>
    <t>Χ367572</t>
  </si>
  <si>
    <t>ΒΑΡΝΑΒΑ</t>
  </si>
  <si>
    <t>ΑΗ136054</t>
  </si>
  <si>
    <t>ΣΥΡΟΠΟΥΛΟΥ</t>
  </si>
  <si>
    <t>ΠΗΝΕΛΟΠΗ</t>
  </si>
  <si>
    <t>ΑΙ160513</t>
  </si>
  <si>
    <t>1577,5</t>
  </si>
  <si>
    <t>ΤΣΙΡΚΑΣ</t>
  </si>
  <si>
    <t>ΑΗ738152</t>
  </si>
  <si>
    <t>ΤΣΑΚΑΛΑΚΗ</t>
  </si>
  <si>
    <t>Χ271142</t>
  </si>
  <si>
    <t>1574,5</t>
  </si>
  <si>
    <t>ΠΑΠΑΣΤΕΦΑΝΑΚΗ</t>
  </si>
  <si>
    <t>ΑΕ116852</t>
  </si>
  <si>
    <t>916,3</t>
  </si>
  <si>
    <t>1574,3</t>
  </si>
  <si>
    <t>ΒΑΣΣΟΥ</t>
  </si>
  <si>
    <t>AI812796</t>
  </si>
  <si>
    <t>1079,1</t>
  </si>
  <si>
    <t>1573,1</t>
  </si>
  <si>
    <t>ΤΡΑΓΟΥΛΙΑ</t>
  </si>
  <si>
    <t>Χ022851</t>
  </si>
  <si>
    <t>885,5</t>
  </si>
  <si>
    <t>1572,5</t>
  </si>
  <si>
    <t>ΒΑΤΗΣ</t>
  </si>
  <si>
    <t>ΣΤΥΛΙΑΝΟΣ ΕΥΣΤΡΑΤΙΟΣ</t>
  </si>
  <si>
    <t>ΖΑΦΕΙΡΙΟΣ</t>
  </si>
  <si>
    <t>ΓΑΜΠΑ</t>
  </si>
  <si>
    <t>ΑΚ000222</t>
  </si>
  <si>
    <t>ΚΟΙΜΤΖΟΓΛΟΥ</t>
  </si>
  <si>
    <t>ΑΕ675050</t>
  </si>
  <si>
    <t>1570,5</t>
  </si>
  <si>
    <t>Χ507520</t>
  </si>
  <si>
    <t>ΚΟΖΟΡΩΝΗ</t>
  </si>
  <si>
    <t>ΑΒ044862</t>
  </si>
  <si>
    <t>1567,7</t>
  </si>
  <si>
    <t>ΚΑΤΣΙΑΝΤΩΝΗ</t>
  </si>
  <si>
    <t>ΑΝ209835</t>
  </si>
  <si>
    <t>1567,5</t>
  </si>
  <si>
    <t>ΘΕΟΔΟΣΗ</t>
  </si>
  <si>
    <t xml:space="preserve">ΝΙΚΗ </t>
  </si>
  <si>
    <t>Σ847229</t>
  </si>
  <si>
    <t>ΜΕΜΟΥ</t>
  </si>
  <si>
    <t>ΑΒ234820</t>
  </si>
  <si>
    <t>907,5</t>
  </si>
  <si>
    <t>1565,5</t>
  </si>
  <si>
    <t>ΜΠΑΚΟΓΙΑΝΝΗΣ</t>
  </si>
  <si>
    <t>ΣΠΥΡΟΣ</t>
  </si>
  <si>
    <t>ΑΗ557458</t>
  </si>
  <si>
    <t>ΒΕΛΕΝΤΖΑΣ</t>
  </si>
  <si>
    <t>ΑΚ665382</t>
  </si>
  <si>
    <t>ΦΑΣΟΥΛΑΚΗΣ</t>
  </si>
  <si>
    <t>ΣΤΥΛΙΑΝΟΣ</t>
  </si>
  <si>
    <t>ΣΤΕΦΑΝΟΣ</t>
  </si>
  <si>
    <t>Χ347682</t>
  </si>
  <si>
    <t>ΓΚΟΦΑ</t>
  </si>
  <si>
    <t>Τ186709</t>
  </si>
  <si>
    <t>874,5</t>
  </si>
  <si>
    <t>1562,5</t>
  </si>
  <si>
    <t>ΑΝΤΩΝΑΤΟΥ</t>
  </si>
  <si>
    <t>ΑΝΝΕΤΑ</t>
  </si>
  <si>
    <t>ΣΤΑΥΡΟΣ</t>
  </si>
  <si>
    <t>Χ208351</t>
  </si>
  <si>
    <t>764,5</t>
  </si>
  <si>
    <t>ΛΑΠΠΑ</t>
  </si>
  <si>
    <t>Χ797277</t>
  </si>
  <si>
    <t>ΠΟΥΛΤΣΑΚΗ</t>
  </si>
  <si>
    <t>Χ260653</t>
  </si>
  <si>
    <t>Κουτρούμπας</t>
  </si>
  <si>
    <t>Ηλίας</t>
  </si>
  <si>
    <t>ΗΡΑΚΛΗΣ</t>
  </si>
  <si>
    <t>ΑΗ089897</t>
  </si>
  <si>
    <t>1558,5</t>
  </si>
  <si>
    <t>ΜΑΥΡΑΝΤΖΑΣ</t>
  </si>
  <si>
    <t>Τ380642</t>
  </si>
  <si>
    <t>ΜΑΡΓΑΡΙΤΗ</t>
  </si>
  <si>
    <t>ΑΚ047893</t>
  </si>
  <si>
    <t>ΠΑΠΑΔΙΑΜΑΝΤΟΠΟΥΛΟΣ</t>
  </si>
  <si>
    <t>ΑΡΙΣΤΟΜΕΝΗΣ</t>
  </si>
  <si>
    <t>ΑΗ208265</t>
  </si>
  <si>
    <t>919,6</t>
  </si>
  <si>
    <t>1557,6</t>
  </si>
  <si>
    <t>ΚΟΡΟΒΕΣΗ</t>
  </si>
  <si>
    <t>ΘΕΑΝΩ</t>
  </si>
  <si>
    <t>Φ121635</t>
  </si>
  <si>
    <t>1557,4</t>
  </si>
  <si>
    <t>ΑΝΤΥΠΑ</t>
  </si>
  <si>
    <t>ΝΕΚΤΑΡΙΑ</t>
  </si>
  <si>
    <t>Χ838712</t>
  </si>
  <si>
    <t>ΚΑΡΑΛΗ</t>
  </si>
  <si>
    <t>ΚΛΕΑΝΘΗΣ</t>
  </si>
  <si>
    <t>Φ432357</t>
  </si>
  <si>
    <t>ΦΩΤΟ</t>
  </si>
  <si>
    <t>ΦΩΤΗ</t>
  </si>
  <si>
    <t>ΑΙ071361</t>
  </si>
  <si>
    <t>ΜΟΥΤΟΥΣΙΔΗΣ</t>
  </si>
  <si>
    <t>ΜΑΡΙΟΣ</t>
  </si>
  <si>
    <t>Χ785369</t>
  </si>
  <si>
    <t>1551,5</t>
  </si>
  <si>
    <t>ΑΝΔΡΙΑΚΟΠΟΥΛΟΣ</t>
  </si>
  <si>
    <t>ΚΩΣΤΑΣ</t>
  </si>
  <si>
    <t>Φ244025</t>
  </si>
  <si>
    <t>ΑΝΕΣΤΟΥ</t>
  </si>
  <si>
    <t>Τ118066</t>
  </si>
  <si>
    <t>ΠΟΥΛΙΟΥ</t>
  </si>
  <si>
    <t>ΓΕΡΑΣΙΜΟΣ</t>
  </si>
  <si>
    <t>Τ238388</t>
  </si>
  <si>
    <t>ΣΚΟΝΔΡΑΣ</t>
  </si>
  <si>
    <t>ΑΠΟΣΤΟΛΟΣ</t>
  </si>
  <si>
    <t>ΑΕ246646</t>
  </si>
  <si>
    <t>1548,5</t>
  </si>
  <si>
    <t>ΚΑΜΠΙΤΣΗ</t>
  </si>
  <si>
    <t>ΜΑΡΙΚΑ</t>
  </si>
  <si>
    <t>Σ707623</t>
  </si>
  <si>
    <t>1546,4</t>
  </si>
  <si>
    <t>ΖΗΡΟΥ</t>
  </si>
  <si>
    <t>ΑΖ423427</t>
  </si>
  <si>
    <t>1545,4</t>
  </si>
  <si>
    <t>ΚΥΠΡΑΙΟΣ</t>
  </si>
  <si>
    <t>ΘΕΜΙΣΤΟΚΛΗΣ</t>
  </si>
  <si>
    <t>ΑΒ914211</t>
  </si>
  <si>
    <t>ΑΝΑΓΝΩΣΤΟΠΟΥΛΟΥ</t>
  </si>
  <si>
    <t>ΚΑΝΕΛΑ</t>
  </si>
  <si>
    <t>Χ734044</t>
  </si>
  <si>
    <t>ΘΩΔΗ</t>
  </si>
  <si>
    <t>ΑΜ776324</t>
  </si>
  <si>
    <t>ΣΤΕΦΑΝΟΥ</t>
  </si>
  <si>
    <t>ΑΗ069683</t>
  </si>
  <si>
    <t>ΚΕΜΕΡΛΗ</t>
  </si>
  <si>
    <t>Χ512931</t>
  </si>
  <si>
    <t>1539,5</t>
  </si>
  <si>
    <t>ΛΙΟΛΙΟΥ</t>
  </si>
  <si>
    <t>ΑΝ318488</t>
  </si>
  <si>
    <t>ΛΟΥΛΟΥΔΗ</t>
  </si>
  <si>
    <t>ΑΗ464971</t>
  </si>
  <si>
    <t>ΑΚ069206</t>
  </si>
  <si>
    <t>ΤΟΦΕΑ</t>
  </si>
  <si>
    <t>ΑΝΑΣΤΑΣΙΑ</t>
  </si>
  <si>
    <t>ΑΕ767281</t>
  </si>
  <si>
    <t>ΚΟΥΚΗΣ</t>
  </si>
  <si>
    <t>ΑΜ992425</t>
  </si>
  <si>
    <t>1536,5</t>
  </si>
  <si>
    <t>ΓΑΛΑΝΗ</t>
  </si>
  <si>
    <t>ΣΤΕΦΑΝΙΑ</t>
  </si>
  <si>
    <t>ΑΗ820410</t>
  </si>
  <si>
    <t>ΜΟΣΧΟΠΟΥΛΟΥ</t>
  </si>
  <si>
    <t>Χ723074</t>
  </si>
  <si>
    <t>ΚΡΟΥΠΗ</t>
  </si>
  <si>
    <t>ΣΠΥΡΙΔΟΥΛΑ</t>
  </si>
  <si>
    <t>ΑΒ061748</t>
  </si>
  <si>
    <t>ΤΣΙΝΤΖΕΛΗΣ</t>
  </si>
  <si>
    <t>ΑΚ357917</t>
  </si>
  <si>
    <t>1090,1</t>
  </si>
  <si>
    <t>1533,1</t>
  </si>
  <si>
    <t>ΚΑΡΑΣΜΑΝΟΓΛΟΥ</t>
  </si>
  <si>
    <t>ΑΧΙΛΛΕΑΣ</t>
  </si>
  <si>
    <t>ΑΜ041013</t>
  </si>
  <si>
    <t>ΠΑΥΛΙΔΗ</t>
  </si>
  <si>
    <t>ΘΕΟΔΩΡΑ</t>
  </si>
  <si>
    <t>ΑΗ078576</t>
  </si>
  <si>
    <t>1531,5</t>
  </si>
  <si>
    <t>ΜΙΖΙΚΙΡΗ</t>
  </si>
  <si>
    <t>ΑΚ144810</t>
  </si>
  <si>
    <t>ΕΥΑΓΓΕΛΙΑΔΗΣ</t>
  </si>
  <si>
    <t>ΑΝΔΡΟΝΙΚΟΣ</t>
  </si>
  <si>
    <t>Χ723254</t>
  </si>
  <si>
    <t>ΦΑΙΤΑΤΖΙΔΟΥ</t>
  </si>
  <si>
    <t>ΙΟΡΔΑΝΗΣ</t>
  </si>
  <si>
    <t>ΑΝ222709</t>
  </si>
  <si>
    <t>ΜΑΡΚΟΠΟΥΛΟΥ</t>
  </si>
  <si>
    <t>ΜΑΡΙΑ ΑΝΝΑ</t>
  </si>
  <si>
    <t>Τ298152</t>
  </si>
  <si>
    <t>ΚΑΜΠΑΝΑΣ</t>
  </si>
  <si>
    <t>ΑΚ533203</t>
  </si>
  <si>
    <t>ΖΙΩΓΟΥ</t>
  </si>
  <si>
    <t>ΑΖ009731</t>
  </si>
  <si>
    <t>ΛΩΛΗΣ</t>
  </si>
  <si>
    <t>ΑΖ741658</t>
  </si>
  <si>
    <t>1525,5</t>
  </si>
  <si>
    <t>ΚΑΠΩΛΗ</t>
  </si>
  <si>
    <t>ΑΙ545610</t>
  </si>
  <si>
    <t>ΖΥΓΟΥΡΗΣ</t>
  </si>
  <si>
    <t>ΑΝ098882</t>
  </si>
  <si>
    <t>ΜΠΑΤΣΙΚΑΝΗ</t>
  </si>
  <si>
    <t>ΙΑΚΩΒΟΣ</t>
  </si>
  <si>
    <t>ΑΕ976950</t>
  </si>
  <si>
    <t>ΚΑΨΗ</t>
  </si>
  <si>
    <t>Τ188015</t>
  </si>
  <si>
    <t>852,5</t>
  </si>
  <si>
    <t>1520,5</t>
  </si>
  <si>
    <t>ΞΑΝΘΟΠΟΥΛΟΥ</t>
  </si>
  <si>
    <t>ΑΚ865453</t>
  </si>
  <si>
    <t>ΜΑΝΙΑ</t>
  </si>
  <si>
    <t>ΝΑΟΥΜ</t>
  </si>
  <si>
    <t>Σ984222</t>
  </si>
  <si>
    <t>ΑΓΓΕΛΟΣ</t>
  </si>
  <si>
    <t>ΑΚ042008</t>
  </si>
  <si>
    <t>1517,5</t>
  </si>
  <si>
    <t>ΤΙΓΚΛΙΑΝΙΔΗΣ</t>
  </si>
  <si>
    <t>ΑΜ855639</t>
  </si>
  <si>
    <t>ΚΑΡΑΚΩΣΤΑ</t>
  </si>
  <si>
    <t>ΚΩΝΣΤΑΝΤΙΝΙΑ</t>
  </si>
  <si>
    <t>Φ225092</t>
  </si>
  <si>
    <t>1515,5</t>
  </si>
  <si>
    <t>ΦΙΛΟΠΟΥΛΟΥ</t>
  </si>
  <si>
    <t>ΝΙΚΗ</t>
  </si>
  <si>
    <t>ΑΝΤΑΣΙΟΣ</t>
  </si>
  <si>
    <t>ΑΕ266663</t>
  </si>
  <si>
    <t>1514,5</t>
  </si>
  <si>
    <t>ΜΟΣΧΟΥ</t>
  </si>
  <si>
    <t>ΛΑΜΠΡΙΝΗ</t>
  </si>
  <si>
    <t>Χ393817</t>
  </si>
  <si>
    <t>ΚΑΣΤΑΝΑ</t>
  </si>
  <si>
    <t>ΑΚ656288</t>
  </si>
  <si>
    <t>ΚΟΥΒΑΡΗ</t>
  </si>
  <si>
    <t>ΝΙΚΟΛΕΤΤΑ</t>
  </si>
  <si>
    <t>Φ960034</t>
  </si>
  <si>
    <t>996,6</t>
  </si>
  <si>
    <t>1510,6</t>
  </si>
  <si>
    <t>ΙΦΙΓΕΝΕΙΑ</t>
  </si>
  <si>
    <t>ΑΕ562916</t>
  </si>
  <si>
    <t>1510,5</t>
  </si>
  <si>
    <t>ΝΤΟΥΡΑ</t>
  </si>
  <si>
    <t>ΕΥΡΥΔΙΚΗ ΖΩΗ</t>
  </si>
  <si>
    <t>Φ288932</t>
  </si>
  <si>
    <t>ΡΑΥΤΟΠΟΥΛΟΥ</t>
  </si>
  <si>
    <t>ΟΛΙΒΙΑ</t>
  </si>
  <si>
    <t>ΑΕ782020</t>
  </si>
  <si>
    <t>709,5</t>
  </si>
  <si>
    <t>1507,5</t>
  </si>
  <si>
    <t>ΒΕΚΡΗ</t>
  </si>
  <si>
    <t>Χ402689</t>
  </si>
  <si>
    <t>ΚΑΨΗΣ</t>
  </si>
  <si>
    <t>ΑΖ103209</t>
  </si>
  <si>
    <t>1503,5</t>
  </si>
  <si>
    <t>ΠΑΝΑΓΙΩΤΟΠΟΥΛΟΥ</t>
  </si>
  <si>
    <t>ΦΙΛΑΝΘΗ</t>
  </si>
  <si>
    <t>ΑΑ31501017</t>
  </si>
  <si>
    <t>ΚΑΡΑΓΙΑΝΝΗ</t>
  </si>
  <si>
    <t>ΑΗ201009</t>
  </si>
  <si>
    <t>ΜΑΓΚΛΑΡΑΣ</t>
  </si>
  <si>
    <t>ΑΜ734004</t>
  </si>
  <si>
    <t>ΔΑΣΚΑΛΑΚΗΣ ΒΑΛΛΙΑΝΑΤΟΣ</t>
  </si>
  <si>
    <t>ΔΙΟΝΥΣΙΟΣ ΕΜΜΑΝΟΥΗΛ</t>
  </si>
  <si>
    <t>ΑΑ047233</t>
  </si>
  <si>
    <t>ΤΡΙΑΝΤΗ</t>
  </si>
  <si>
    <t>ΑΒ596284</t>
  </si>
  <si>
    <t>1499,5</t>
  </si>
  <si>
    <t>ΘΕΟΚΛΗΣ ΑΝΑΣΤΑΣΙΟΣ</t>
  </si>
  <si>
    <t>ΦΥΚΑΡΗ</t>
  </si>
  <si>
    <t>Χ998548</t>
  </si>
  <si>
    <t>1030,7</t>
  </si>
  <si>
    <t>1494,7</t>
  </si>
  <si>
    <t>ΚΟΚΚΟΡΗ</t>
  </si>
  <si>
    <t>ΕΛΕΝΗ ΜΑΡΙΑ</t>
  </si>
  <si>
    <t>ΑΗ636398</t>
  </si>
  <si>
    <t>1494,5</t>
  </si>
  <si>
    <t>ΧΑΤΖΗΜΑΡΚΑΚΗ</t>
  </si>
  <si>
    <t>ΑΗ145939</t>
  </si>
  <si>
    <t>ΒΑΣΙΛΑΚΗ</t>
  </si>
  <si>
    <t>ΑΑ490118</t>
  </si>
  <si>
    <t>1492,5</t>
  </si>
  <si>
    <t>ΚΩΣΤΟΡΡΙΖΟΥ</t>
  </si>
  <si>
    <t xml:space="preserve">ΦΛΩΡΕΝΤΙΑ </t>
  </si>
  <si>
    <t>ΑΖ082820</t>
  </si>
  <si>
    <t>ΜΑΘΙΟΠΟΥΛΟΥ</t>
  </si>
  <si>
    <t>ΑΖ732796</t>
  </si>
  <si>
    <t>ΣΕΙΤΑΝΗ</t>
  </si>
  <si>
    <t>ΑΝΤΩΝΙΑ</t>
  </si>
  <si>
    <t>ΑΖ761191</t>
  </si>
  <si>
    <t>1490,5</t>
  </si>
  <si>
    <t>ΠΟΔΑΡΟΓΙΑΝΝΗ</t>
  </si>
  <si>
    <t>ΘΕΟΦΑΝΗΣ</t>
  </si>
  <si>
    <t>ΑΕ515134</t>
  </si>
  <si>
    <t>ΣΓΟΥΡΟΜΑΛΛΗ</t>
  </si>
  <si>
    <t>Φ992015</t>
  </si>
  <si>
    <t>1488,5</t>
  </si>
  <si>
    <t>ΞΕΝΟΣ ΠΥΤΟΥΡΟΦΑΟΣ</t>
  </si>
  <si>
    <t>ΑΑ036270</t>
  </si>
  <si>
    <t>830,5</t>
  </si>
  <si>
    <t>ΧΑΛΑ</t>
  </si>
  <si>
    <t>Φ081485</t>
  </si>
  <si>
    <t>870,1</t>
  </si>
  <si>
    <t>1488,1</t>
  </si>
  <si>
    <t>ΠΕΡΡΟΣ</t>
  </si>
  <si>
    <t>ΑΜ157976</t>
  </si>
  <si>
    <t>ΑΚΡΙΒΗ</t>
  </si>
  <si>
    <t>ΛΑΜΠΡΙΝΗ-ΕΛΕΝΗ</t>
  </si>
  <si>
    <t>ΑΒ408273</t>
  </si>
  <si>
    <t>ΚΑΓΚΕΛΙΔΗΣ</t>
  </si>
  <si>
    <t>ΛΑΖΑΡΟΣ</t>
  </si>
  <si>
    <t>Φ246608</t>
  </si>
  <si>
    <t>1481,5</t>
  </si>
  <si>
    <t>ΣΧΕΤΑΚΗ</t>
  </si>
  <si>
    <t>ΑΚ064438</t>
  </si>
  <si>
    <t>863,5</t>
  </si>
  <si>
    <t>ΧΡΟΝΗ</t>
  </si>
  <si>
    <t>Χ299108</t>
  </si>
  <si>
    <t>ΜΠΕΛΛΟΣ</t>
  </si>
  <si>
    <t>ΓΙΩΡΓΟΣ</t>
  </si>
  <si>
    <t>ΑΗ204654</t>
  </si>
  <si>
    <t>1479,5</t>
  </si>
  <si>
    <t>ΣΤΕΦΑΝΙΔΟΥ</t>
  </si>
  <si>
    <t>Χ735962</t>
  </si>
  <si>
    <t>ΚΑΓΙΑ</t>
  </si>
  <si>
    <t>ΣΥΜΕΩΝ</t>
  </si>
  <si>
    <t>ΑΗ816825</t>
  </si>
  <si>
    <t>ΚΩΝΣΤΑΝΤΟΠΟΥΛΟΣ</t>
  </si>
  <si>
    <t>Χ937573</t>
  </si>
  <si>
    <t>1478,5</t>
  </si>
  <si>
    <t>ΛΕΝΤΑΡΑΚΗ</t>
  </si>
  <si>
    <t>ΑΖ973777</t>
  </si>
  <si>
    <t>ΚΑΡΛΑΤΗΡΑΣ</t>
  </si>
  <si>
    <t>ΑΚ246034</t>
  </si>
  <si>
    <t>1477,5</t>
  </si>
  <si>
    <t>ΜΗΤΣΙΟΣ</t>
  </si>
  <si>
    <t>Χ778694</t>
  </si>
  <si>
    <t>ΚΩΝΣΤΑΝΤΟΠΟΥΛΟΥ</t>
  </si>
  <si>
    <t>ΑΙ609324</t>
  </si>
  <si>
    <t>ΣΗΦΑΚΗ</t>
  </si>
  <si>
    <t>ΑΜ474951</t>
  </si>
  <si>
    <t>1473,7</t>
  </si>
  <si>
    <t>ΜΠΡΑΤΙΚΑ</t>
  </si>
  <si>
    <t>ΚΑΛΛΙΟΠΗ</t>
  </si>
  <si>
    <t>ΑΗ913165</t>
  </si>
  <si>
    <t xml:space="preserve">ΠΑΠΑΝΑΓΙΩΤΟΥ </t>
  </si>
  <si>
    <t>ΑΔΑΜΑΝΤΙΑ ΣΤΑΥΡΙΑΝΗ</t>
  </si>
  <si>
    <t>ΑΒ033676</t>
  </si>
  <si>
    <t>ΜΑΚΚΑΣ</t>
  </si>
  <si>
    <t>ΑΛΕΞΙΟΣ</t>
  </si>
  <si>
    <t>ΑΜ632400</t>
  </si>
  <si>
    <t>1470,5</t>
  </si>
  <si>
    <t>ΜΕΝΤΖΑ</t>
  </si>
  <si>
    <t>ΖΩΗ</t>
  </si>
  <si>
    <t>ΑΜ203768</t>
  </si>
  <si>
    <t>1467,5</t>
  </si>
  <si>
    <t>ΖΥΓΟΥΡΑ</t>
  </si>
  <si>
    <t>ΑΕ178630</t>
  </si>
  <si>
    <t>993,3</t>
  </si>
  <si>
    <t>1465,3</t>
  </si>
  <si>
    <t>ΔΗΜΟΥ</t>
  </si>
  <si>
    <t>ΦΑΝΗ</t>
  </si>
  <si>
    <t>ΑΖ850518</t>
  </si>
  <si>
    <t>ΤΣΑΖΗ</t>
  </si>
  <si>
    <t>ΑΑ768541</t>
  </si>
  <si>
    <t>1464,5</t>
  </si>
  <si>
    <t>ΣΟΥΛΟΥΤΑ</t>
  </si>
  <si>
    <t>ΑΖ536149</t>
  </si>
  <si>
    <t>1463,5</t>
  </si>
  <si>
    <t>ΤΟΥΛΟΥΜΗ</t>
  </si>
  <si>
    <t>Χ535048</t>
  </si>
  <si>
    <t>ΘΕΟΔΩΡΑΚΟΠΟΥΛΟΣ</t>
  </si>
  <si>
    <t>ΑΙ613345</t>
  </si>
  <si>
    <t>ΣΚΙΡΛΗ</t>
  </si>
  <si>
    <t>Χ575706</t>
  </si>
  <si>
    <t>ΚΟΝΤΟΠΟΥΛΟΥ</t>
  </si>
  <si>
    <t>ΑΙ152852</t>
  </si>
  <si>
    <t>1461,5</t>
  </si>
  <si>
    <t>ΣΠΗΛΙΩΤΟΠΟΥΛΟΥ</t>
  </si>
  <si>
    <t>ΑΖ210253</t>
  </si>
  <si>
    <t>ΚΟΥΤΣΟΘΑΝΑΣΗ</t>
  </si>
  <si>
    <t>ΑΒ243480</t>
  </si>
  <si>
    <t>ΜΠΡΑΓΙΑΝΝΗ</t>
  </si>
  <si>
    <t>ΦΛΩΡΑ</t>
  </si>
  <si>
    <t>ΑΗ800240</t>
  </si>
  <si>
    <t>1453,5</t>
  </si>
  <si>
    <t>ΜΠΑΡΟΥ</t>
  </si>
  <si>
    <t>ΑΣΗΜΙΝΑ</t>
  </si>
  <si>
    <t>Τ012147</t>
  </si>
  <si>
    <t>ΙΩΑΝΝΙΔΗ</t>
  </si>
  <si>
    <t>ΝΕΦΕΛΗ</t>
  </si>
  <si>
    <t>Φ046351</t>
  </si>
  <si>
    <t>1452,9</t>
  </si>
  <si>
    <t>ΕΡΓΙΝΑ</t>
  </si>
  <si>
    <t>ΑΑ804482</t>
  </si>
  <si>
    <t>1451,5</t>
  </si>
  <si>
    <t>ΚΟΥΤΣΟΥΡΗ</t>
  </si>
  <si>
    <t>ΟΛΓΑ</t>
  </si>
  <si>
    <t>ΑΜ226094</t>
  </si>
  <si>
    <t>1451,4</t>
  </si>
  <si>
    <t>ΤΣΟΥΜΠΑΣ</t>
  </si>
  <si>
    <t>Τ066599</t>
  </si>
  <si>
    <t>1449,5</t>
  </si>
  <si>
    <t>ΛΥΚΟΥΔΗΣ</t>
  </si>
  <si>
    <t>ΔΗΜΗΤΡΙΟΣ-ΣΠΥΡΙΔΩΝ</t>
  </si>
  <si>
    <t>ΑΝ105416</t>
  </si>
  <si>
    <t>ΣΚΟΥΜΠΑΣ</t>
  </si>
  <si>
    <t>ΑΙ502391</t>
  </si>
  <si>
    <t>ΠΑΝΑΓΙΩΤΟΠΟΥΛΟΣ</t>
  </si>
  <si>
    <t>ΑΗ493325</t>
  </si>
  <si>
    <t>1446,5</t>
  </si>
  <si>
    <t>ΒΑΡΑΝΑΚΗΣ</t>
  </si>
  <si>
    <t>ΑΖ621875</t>
  </si>
  <si>
    <t>ΤΣΙΑΜΗΣ</t>
  </si>
  <si>
    <t>Χ033799</t>
  </si>
  <si>
    <t>1445,5</t>
  </si>
  <si>
    <t>ΣΤΑΘΟΠΟΥΛΟΥ</t>
  </si>
  <si>
    <t>ΓΚΟΛΦΩ ΕΙΡΗΝΗ</t>
  </si>
  <si>
    <t>ΑΕ553423</t>
  </si>
  <si>
    <t>ΜΑΡΚΟΥ</t>
  </si>
  <si>
    <t>Χ391794</t>
  </si>
  <si>
    <t>ΚΟΥΤΣΙΜΑΝΗΣ</t>
  </si>
  <si>
    <t>ΒΙΚΤΩΡΑΣ</t>
  </si>
  <si>
    <t>Χ393428</t>
  </si>
  <si>
    <t>ΠΑΝΤΕΛΙΟΥ</t>
  </si>
  <si>
    <t>ΚΑΣΣΙΑΝΗ</t>
  </si>
  <si>
    <t>Χ623871</t>
  </si>
  <si>
    <t>ΣΤΑΜΑΤΕΛΟΣ</t>
  </si>
  <si>
    <t>Χ329284</t>
  </si>
  <si>
    <t>1442,3</t>
  </si>
  <si>
    <t>ΑΝΤΩΝΙΑΔΗΣ</t>
  </si>
  <si>
    <t>ΑΝ353791</t>
  </si>
  <si>
    <t>ΤΖΙΓΚΟΥΝΑΚΗ</t>
  </si>
  <si>
    <t>ΔΗΜΟΣΘΕΝΗΣ</t>
  </si>
  <si>
    <t>ΑΒ488276</t>
  </si>
  <si>
    <t>1441,5</t>
  </si>
  <si>
    <t>ΚΛΕΤΣΑ</t>
  </si>
  <si>
    <t>ΕΡΜΥΛΟΣ</t>
  </si>
  <si>
    <t>ΑΝ013820</t>
  </si>
  <si>
    <t>793,1</t>
  </si>
  <si>
    <t>1441,1</t>
  </si>
  <si>
    <t>ΚΑΝΑΒΕΤΑΣ</t>
  </si>
  <si>
    <t>ΑΗ134267</t>
  </si>
  <si>
    <t>ΓΕΩΡΓΙΟΥ</t>
  </si>
  <si>
    <t>ΑΝΘΗ</t>
  </si>
  <si>
    <t>ΑΘΩΣ</t>
  </si>
  <si>
    <t>ΑΜ046098</t>
  </si>
  <si>
    <t>974,6</t>
  </si>
  <si>
    <t>1439,6</t>
  </si>
  <si>
    <t>ΠΑΠΑΓΕΩΡΓΙΟΥ</t>
  </si>
  <si>
    <t>ΑΕ028912</t>
  </si>
  <si>
    <t>ΚΑΡΑΤΣΙΟΥΜΠΑΝΗ</t>
  </si>
  <si>
    <t>ΑΗ379602</t>
  </si>
  <si>
    <t>ΠΟΥΜΠΗ</t>
  </si>
  <si>
    <t>ΑΙ104180</t>
  </si>
  <si>
    <t>665,5</t>
  </si>
  <si>
    <t>1433,5</t>
  </si>
  <si>
    <t>ΠΑΠΑΒΑΣΙΛΕΙΟΥ</t>
  </si>
  <si>
    <t>ΘΕΟΔΟΣΙΟΣ</t>
  </si>
  <si>
    <t>ΑΙ187207</t>
  </si>
  <si>
    <t>401-400</t>
  </si>
  <si>
    <t>ΛΟΥΚΟΠΟΥΛΟΣ</t>
  </si>
  <si>
    <t>Χ007381</t>
  </si>
  <si>
    <t>ΜΑΚΡΑΚΗ</t>
  </si>
  <si>
    <t>ΜΑΤΘΑΙΟΣ</t>
  </si>
  <si>
    <t>Χ712297</t>
  </si>
  <si>
    <t>753,5</t>
  </si>
  <si>
    <t>1430,5</t>
  </si>
  <si>
    <t>ΣΩΛΗΝΑΡΑ</t>
  </si>
  <si>
    <t>ΜΑΓΔΑΛΗΝΗ</t>
  </si>
  <si>
    <t>ΑΚ820536</t>
  </si>
  <si>
    <t>ΚΟΥΛΟΥ</t>
  </si>
  <si>
    <t>ΑΗ997521</t>
  </si>
  <si>
    <t>808,5</t>
  </si>
  <si>
    <t>1426,5</t>
  </si>
  <si>
    <t>ΡΑΠΤΗΣ</t>
  </si>
  <si>
    <t>ΣΕΡΑΦΕΙΜ</t>
  </si>
  <si>
    <t>Φ125346</t>
  </si>
  <si>
    <t>ΠΑΝΤΑΖΗ</t>
  </si>
  <si>
    <t>ΑΙ079475</t>
  </si>
  <si>
    <t>1020,8</t>
  </si>
  <si>
    <t>1423,8</t>
  </si>
  <si>
    <t>ΔΡΑΜΠΑΛΟΥ</t>
  </si>
  <si>
    <t>Χ863389</t>
  </si>
  <si>
    <t>ΤΣΕΤΣΟΥ</t>
  </si>
  <si>
    <t>ΑΛΕΞΙΑ</t>
  </si>
  <si>
    <t>Τ565024</t>
  </si>
  <si>
    <t>ΚΟΝΤΟΓΕΩΡΓΑ</t>
  </si>
  <si>
    <t>ΙΟΥΛΙΑ</t>
  </si>
  <si>
    <t>ΑΝ028266</t>
  </si>
  <si>
    <t>1419,5</t>
  </si>
  <si>
    <t>ΠΑΝΟΥ</t>
  </si>
  <si>
    <t>ΑΕ596367</t>
  </si>
  <si>
    <t>ΣΤΑΥΡΟΠΟΥΛΟΥ</t>
  </si>
  <si>
    <t>ΑΗ636511</t>
  </si>
  <si>
    <t>ΑΔΑΛΗ</t>
  </si>
  <si>
    <t>ΑΕ692667</t>
  </si>
  <si>
    <t>ΠΑΠΑΣΤΑΥΡΟΥ</t>
  </si>
  <si>
    <t>Φ331235</t>
  </si>
  <si>
    <t>ΚΑΝΔΗΛΩΡΟΣ</t>
  </si>
  <si>
    <t>Χ122465</t>
  </si>
  <si>
    <t>ΔΗΜΗΤΡΟΥΛΙΑ</t>
  </si>
  <si>
    <t>Χ025586</t>
  </si>
  <si>
    <t>1415,5</t>
  </si>
  <si>
    <t>ΝΙΚΟΛΕΤΤΟΥ</t>
  </si>
  <si>
    <t>ΑΜ133174</t>
  </si>
  <si>
    <t>ΚΑΡΑΧΡΗΣΤΟΥ</t>
  </si>
  <si>
    <t>ΑΒ199154</t>
  </si>
  <si>
    <t>ΠΑΝΤΑΖΑΚΟΣ</t>
  </si>
  <si>
    <t>Χ397125</t>
  </si>
  <si>
    <t>ΝΙΚΟΛΟΠΟΥΛΟΣ</t>
  </si>
  <si>
    <t>ΒΑΣΙΛΗΣ</t>
  </si>
  <si>
    <t>ΑΜ742970</t>
  </si>
  <si>
    <t>ΚΟΤΣΑΛΗ</t>
  </si>
  <si>
    <t>ΑΕ232751</t>
  </si>
  <si>
    <t>1412,5</t>
  </si>
  <si>
    <t>ΣΤΕΡΓΙΟΥ</t>
  </si>
  <si>
    <t>ΑΗ027248</t>
  </si>
  <si>
    <t>ΔΙΑΜΑΝΤΟΠΟΥΛΟΥ</t>
  </si>
  <si>
    <t>ΑΡΓΥΡΙΟΣ</t>
  </si>
  <si>
    <t>ΑΙ726174</t>
  </si>
  <si>
    <t>1411,5</t>
  </si>
  <si>
    <t>ΜΙΧΑΛΑΚΗ</t>
  </si>
  <si>
    <t>ΑΘΗΝΑ</t>
  </si>
  <si>
    <t>Χ433070</t>
  </si>
  <si>
    <t>1024,1</t>
  </si>
  <si>
    <t>1411,1</t>
  </si>
  <si>
    <t>ΚΟΡΔΑ</t>
  </si>
  <si>
    <t>Τ265604</t>
  </si>
  <si>
    <t>ΑΥΓΕΡΗ</t>
  </si>
  <si>
    <t>ΜΙΡΕΛΛΑ</t>
  </si>
  <si>
    <t>ΑΚ708331</t>
  </si>
  <si>
    <t>ΚΑΡΑΤΟΥΛΙΩΤΗ</t>
  </si>
  <si>
    <t>ΓΕΩΡΓΙΑ-ΜΑΡΙΑ</t>
  </si>
  <si>
    <t>ΑΖ216009</t>
  </si>
  <si>
    <t>1405,5</t>
  </si>
  <si>
    <t>ΣΓΑΝΤΖΟΝΥΧΑ</t>
  </si>
  <si>
    <t>ΣΤΕΛΛΑ</t>
  </si>
  <si>
    <t>ΑΗ027992</t>
  </si>
  <si>
    <t>ΦΑΚΑΛΟΥ</t>
  </si>
  <si>
    <t>ΑΚ342727</t>
  </si>
  <si>
    <t>636,9</t>
  </si>
  <si>
    <t>1404,9</t>
  </si>
  <si>
    <t>ΟΙΚΟΝΟΜΟΠΟΥΛΟΣ</t>
  </si>
  <si>
    <t>Φ241848</t>
  </si>
  <si>
    <t>1403,5</t>
  </si>
  <si>
    <t>ΤΟΠΑΡΟΠΟΥΛΟΣ</t>
  </si>
  <si>
    <t>ΑΝΑΣΤΑΣΙΟΣ</t>
  </si>
  <si>
    <t>ΑΗ061241</t>
  </si>
  <si>
    <t>ΜΗΤΡΟΠΟΥΛΟΥ</t>
  </si>
  <si>
    <t>ΑΒ214781</t>
  </si>
  <si>
    <t>ΜΠΕΛΕΓΡΗ</t>
  </si>
  <si>
    <t>Χ404868</t>
  </si>
  <si>
    <t>1402,5</t>
  </si>
  <si>
    <t>ΑΚ048245</t>
  </si>
  <si>
    <t>ΣΤΑΘΟΠΟΥΛΟΣ</t>
  </si>
  <si>
    <t>Χ296477</t>
  </si>
  <si>
    <t>778,8</t>
  </si>
  <si>
    <t>1396,8</t>
  </si>
  <si>
    <t>ΣΑΙΔΕΣ</t>
  </si>
  <si>
    <t>Φ320246</t>
  </si>
  <si>
    <t>ΓΕΩΡΓΟΥΛΑΣ</t>
  </si>
  <si>
    <t>Χ980464</t>
  </si>
  <si>
    <t>1395,5</t>
  </si>
  <si>
    <t>ΒΑΓΙΑΝΝΗΣ</t>
  </si>
  <si>
    <t>Χ919389</t>
  </si>
  <si>
    <t>ΑΘΑΝΑΣΛΕΡΗΣ</t>
  </si>
  <si>
    <t>ΑΙ726173</t>
  </si>
  <si>
    <t>ΖΑΓΚΑΣ</t>
  </si>
  <si>
    <t>ΑΜ642966</t>
  </si>
  <si>
    <t>ΓΚΙΖΑΡΗ</t>
  </si>
  <si>
    <t>ΑΚ084548</t>
  </si>
  <si>
    <t>ΤΣΙΑΡΑ</t>
  </si>
  <si>
    <t>ΑΙ848580</t>
  </si>
  <si>
    <t>ΚΟΖΑΣ</t>
  </si>
  <si>
    <t>ΑΗ947494</t>
  </si>
  <si>
    <t>ΦΩΤΙΟΥ</t>
  </si>
  <si>
    <t>ΑΑ057924</t>
  </si>
  <si>
    <t>ΑΝΤΩΝΟΥΛΗ</t>
  </si>
  <si>
    <t>ΑΙ292990</t>
  </si>
  <si>
    <t>667,7</t>
  </si>
  <si>
    <t>1385,7</t>
  </si>
  <si>
    <t>ΠΑΠΑΙΩΑΝΝΟΥ ΚΩΣΤΙΔΗΣ</t>
  </si>
  <si>
    <t>Φ365163</t>
  </si>
  <si>
    <t>ΒΑΛΑΣΟΠΟΥΛΟΣ</t>
  </si>
  <si>
    <t>Ρ675536</t>
  </si>
  <si>
    <t>1384,7</t>
  </si>
  <si>
    <t>ΚΟΥΤΣΙΜΠΕΛΑ</t>
  </si>
  <si>
    <t>ΑΜ223339</t>
  </si>
  <si>
    <t>1384,5</t>
  </si>
  <si>
    <t>ΒΟΥΘΟΥΝΗΣ</t>
  </si>
  <si>
    <t>ΑΚ372169</t>
  </si>
  <si>
    <t>949,3</t>
  </si>
  <si>
    <t>1384,3</t>
  </si>
  <si>
    <t>ΤΣΑΝΑ</t>
  </si>
  <si>
    <t>ΑΝΔΡΟΜΑΧΗ</t>
  </si>
  <si>
    <t>ΑΗ264001</t>
  </si>
  <si>
    <t>1383,4</t>
  </si>
  <si>
    <t>ΓΑΣΠΑΡΑΤΟΣ</t>
  </si>
  <si>
    <t>ΑΜ704833</t>
  </si>
  <si>
    <t>ΧΙΩΤΗ</t>
  </si>
  <si>
    <t>ΑΝ267088</t>
  </si>
  <si>
    <t>ΜΑΛΙΓΙΑΝΝΗΣ</t>
  </si>
  <si>
    <t>ΑΕ730377</t>
  </si>
  <si>
    <t>1380,5</t>
  </si>
  <si>
    <t>ΖΟΡΜΠΑ</t>
  </si>
  <si>
    <t>ΑΙ774500</t>
  </si>
  <si>
    <t>ΔΟΥΡΟΣ</t>
  </si>
  <si>
    <t>Χ398427</t>
  </si>
  <si>
    <t>942,7</t>
  </si>
  <si>
    <t>1378,7</t>
  </si>
  <si>
    <t>ΜΑΤΣΑΓΚΟΣ</t>
  </si>
  <si>
    <t>ΘΕΟΧΑΡΗΣ</t>
  </si>
  <si>
    <t>Χ542569</t>
  </si>
  <si>
    <t>1378,5</t>
  </si>
  <si>
    <t>ΚΑΛΠΑΚΙΔΟΥ</t>
  </si>
  <si>
    <t>Χ069840</t>
  </si>
  <si>
    <t>772,2</t>
  </si>
  <si>
    <t>1377,2</t>
  </si>
  <si>
    <t>ΒΕΛΑΩΡΑ</t>
  </si>
  <si>
    <t>ΑΗ003351</t>
  </si>
  <si>
    <t>ΦΑΡΖΑΛΙΕΒΑ</t>
  </si>
  <si>
    <t>ΝΙΓΙΑΡ</t>
  </si>
  <si>
    <t>ΒΑΓΚΙΦ</t>
  </si>
  <si>
    <t>ΑΗ128657</t>
  </si>
  <si>
    <t>ΡΑΙΚΟΥ</t>
  </si>
  <si>
    <t>ΘΕΩΝΗ</t>
  </si>
  <si>
    <t>ΑΜ133813</t>
  </si>
  <si>
    <t>ΜΠΙΤΟΥ</t>
  </si>
  <si>
    <t>ΑΜ832200</t>
  </si>
  <si>
    <t>ΓΙΑΝΝΑΚΟΠΟΥΛΟΥ</t>
  </si>
  <si>
    <t>Χ289675</t>
  </si>
  <si>
    <t>1373,5</t>
  </si>
  <si>
    <t>ΚΩΣΤΑΡΑ</t>
  </si>
  <si>
    <t>ΑΙ501891</t>
  </si>
  <si>
    <t>ΝΙΚΟΛΟΠΟΥΛΟΥ</t>
  </si>
  <si>
    <t>ΠΑΡΑΣΚΕΥΑΣ</t>
  </si>
  <si>
    <t>Φ062651</t>
  </si>
  <si>
    <t>ΠΡΙΜΙΚΙΔΟΥ</t>
  </si>
  <si>
    <t>ΕΥΔΟΚΙΑ</t>
  </si>
  <si>
    <t>Χ550690</t>
  </si>
  <si>
    <t>1372,5</t>
  </si>
  <si>
    <t>ΛΙΝΑ</t>
  </si>
  <si>
    <t>ΚΩΝΣΤΑΝΤΙΝΟΣΣ</t>
  </si>
  <si>
    <t>ΑΕ647020</t>
  </si>
  <si>
    <t>ΤΖΗΚΑΛΙΟΥ</t>
  </si>
  <si>
    <t>ΑΙ333904</t>
  </si>
  <si>
    <t>1371,5</t>
  </si>
  <si>
    <t>ΚΑΡΥΣΤΙΝΑΙΟΣ-ΕΥΘΥΜΙΑΤΟΣ</t>
  </si>
  <si>
    <t>ΟΔΥΣΣΕΑΣ</t>
  </si>
  <si>
    <t>ΕΛΕΥΘΕΡΙΟΣ</t>
  </si>
  <si>
    <t>ΑΒ636844</t>
  </si>
  <si>
    <t>ΣΤΑΜΟΥΛΗ</t>
  </si>
  <si>
    <t>Χ538078</t>
  </si>
  <si>
    <t>1369,5</t>
  </si>
  <si>
    <t>ΕΠΙΣΚΟΠΟΥ</t>
  </si>
  <si>
    <t>ΛΑΜΠΡΙΝΗ-ΙΩΑΝΝΑ</t>
  </si>
  <si>
    <t>ΑΑ059756</t>
  </si>
  <si>
    <t>1367,5</t>
  </si>
  <si>
    <t>ΚΩΝΣΤΑΝΤΙΝΙΔΟΥ</t>
  </si>
  <si>
    <t>ΔΟΜΝΑ</t>
  </si>
  <si>
    <t>ΑΜ923069</t>
  </si>
  <si>
    <t>1366,5</t>
  </si>
  <si>
    <t>ΒΛΑΧΟΣ</t>
  </si>
  <si>
    <t>Χ081192</t>
  </si>
  <si>
    <t>ΜΠΕΝΑΒΕΛΛΗΣ</t>
  </si>
  <si>
    <t>ΑΚ709641</t>
  </si>
  <si>
    <t>ΠΑΝΤΕΛΙΔΗ</t>
  </si>
  <si>
    <t>ΑΙΚΑΤΕΡΙΝΑ</t>
  </si>
  <si>
    <t>ΜΙΧΑΗΛ ΠΑΝΑΓΙΩΤΗΣ</t>
  </si>
  <si>
    <t>Φ023549</t>
  </si>
  <si>
    <t>1363,5</t>
  </si>
  <si>
    <t>ΧΑΙΔΕΜΕΝΟΥ</t>
  </si>
  <si>
    <t xml:space="preserve">ΜΑΡΙΑ ΑΓΓΕΛΙΚΗ </t>
  </si>
  <si>
    <t>ΑΕ514908</t>
  </si>
  <si>
    <t>1362,5</t>
  </si>
  <si>
    <t>ΛΟΥΠΑΣ</t>
  </si>
  <si>
    <t>ΑΜ542024</t>
  </si>
  <si>
    <t>ΚΑΛΤΣΑΚΑΣ</t>
  </si>
  <si>
    <t>ΑΜ130529</t>
  </si>
  <si>
    <t>Μικροπούλου</t>
  </si>
  <si>
    <t>Άννα</t>
  </si>
  <si>
    <t>ΑΚ701059</t>
  </si>
  <si>
    <t>ΜΠΟΥΝΙΑΣ</t>
  </si>
  <si>
    <t>ΑΒ019094</t>
  </si>
  <si>
    <t>ΝΑΣΗ</t>
  </si>
  <si>
    <t>ΠΟΛΥΞΕΝΗ</t>
  </si>
  <si>
    <t>Χ863439</t>
  </si>
  <si>
    <t>Χ174893</t>
  </si>
  <si>
    <t>ΜΠΑΡΤΖΩΚΑ</t>
  </si>
  <si>
    <t>Σ642161</t>
  </si>
  <si>
    <t>ΣΙΑΚΑΡΑ</t>
  </si>
  <si>
    <t>ΒΑΙΑ</t>
  </si>
  <si>
    <t>Χ876120</t>
  </si>
  <si>
    <t>1357,7</t>
  </si>
  <si>
    <t>ΑΗ020778</t>
  </si>
  <si>
    <t>1357,5</t>
  </si>
  <si>
    <t>ΤΣΑΡΠΕΛΑ</t>
  </si>
  <si>
    <t>ΜΑΡΙΑ ΝΑΤΑΣΑ</t>
  </si>
  <si>
    <t>Τ342449</t>
  </si>
  <si>
    <t>ΖΗΣΟΠΟΥΛΟΥ</t>
  </si>
  <si>
    <t>ΑΣΤΕΡΙΟΣ</t>
  </si>
  <si>
    <t>Χ889107</t>
  </si>
  <si>
    <t>ΠΙΖΑΝΙΑ</t>
  </si>
  <si>
    <t>ΝΕΟΦΥΤΟΣ</t>
  </si>
  <si>
    <t>Σ233711</t>
  </si>
  <si>
    <t>ΑΝΑΣΤΑΣΟΠΟΥΛΟΥ</t>
  </si>
  <si>
    <t>Χ599505</t>
  </si>
  <si>
    <t>1352,5</t>
  </si>
  <si>
    <t>ΓΚΟΥΤΖΑΜΑΝΗ</t>
  </si>
  <si>
    <t>ΑΕ794721</t>
  </si>
  <si>
    <t>ΚΟΜΠΟΥΡΑ</t>
  </si>
  <si>
    <t>ΒΕΝΕΤΑ</t>
  </si>
  <si>
    <t>ΑΙ620968</t>
  </si>
  <si>
    <t>ΑΓΓΕΛΟΠΟΥΛΟΥ</t>
  </si>
  <si>
    <t>ΕΛΕΣΑ</t>
  </si>
  <si>
    <t>ΑΑ031122</t>
  </si>
  <si>
    <t>1349,5</t>
  </si>
  <si>
    <t>ΠΑΠΑΝΙΚΟΥ</t>
  </si>
  <si>
    <t>ΣΥΓΚΛΗΤΙΚΗ</t>
  </si>
  <si>
    <t>ΑΒ079243</t>
  </si>
  <si>
    <t>1084,6</t>
  </si>
  <si>
    <t>1348,6</t>
  </si>
  <si>
    <t>ΠΑΡΔΑΛΗΣ</t>
  </si>
  <si>
    <t>ΑΗ802953</t>
  </si>
  <si>
    <t>ΜΑΡΝΙΕΡΑΚΗ</t>
  </si>
  <si>
    <t>ΑΕ086446</t>
  </si>
  <si>
    <t>1347,5</t>
  </si>
  <si>
    <t>ΑΠΟΣΤΟΛΑΚΗ</t>
  </si>
  <si>
    <t>Χ932541</t>
  </si>
  <si>
    <t>ΠΑΠΠΑ</t>
  </si>
  <si>
    <t>Τ352468</t>
  </si>
  <si>
    <t>1076,9</t>
  </si>
  <si>
    <t>1344,9</t>
  </si>
  <si>
    <t>ΒΙΖΟΥ</t>
  </si>
  <si>
    <t>ΑΖ369733</t>
  </si>
  <si>
    <t>838,2</t>
  </si>
  <si>
    <t>1344,2</t>
  </si>
  <si>
    <t>ΠΑΠΑΔΟΠΟΥΛΟΥ</t>
  </si>
  <si>
    <t>ΝΑΤΑΛΙΑ</t>
  </si>
  <si>
    <t>ΑΒ334778</t>
  </si>
  <si>
    <t>ΕΥΘΥΜΙΟΥ</t>
  </si>
  <si>
    <t>ΑΜ367827</t>
  </si>
  <si>
    <t>ΚΑΡΑΜΠΑΓΙΑ</t>
  </si>
  <si>
    <t>Τ415021</t>
  </si>
  <si>
    <t>ΖΩΙΔΑΚΗ</t>
  </si>
  <si>
    <t>ΒΙΚΤΩΡΙΑ</t>
  </si>
  <si>
    <t>ΑΗ149161</t>
  </si>
  <si>
    <t>1038,4</t>
  </si>
  <si>
    <t>1341,4</t>
  </si>
  <si>
    <t>ΚΥΡΑΤΖΗ</t>
  </si>
  <si>
    <t>ΓΡΑΜΜΑΤΟΥΛΑ</t>
  </si>
  <si>
    <t>Χ253121</t>
  </si>
  <si>
    <t>ΜΟΥΤΟΣ</t>
  </si>
  <si>
    <t>Χ376486</t>
  </si>
  <si>
    <t>ΓΡΑΤΣΑΝΗΣ</t>
  </si>
  <si>
    <t>ΒΑΣΙΛ</t>
  </si>
  <si>
    <t>Χ676725</t>
  </si>
  <si>
    <t>ΓΙΑΝΝΟΣ</t>
  </si>
  <si>
    <t>ΑΚ115223</t>
  </si>
  <si>
    <t>1338,5</t>
  </si>
  <si>
    <t>ΚΟΥΤΣΟΓΙΑΝΝΗ</t>
  </si>
  <si>
    <t>ΑΖ508651</t>
  </si>
  <si>
    <t>1336,5</t>
  </si>
  <si>
    <t>ΑΡΑΧΩΒΙΤΗ</t>
  </si>
  <si>
    <t>Χ791686</t>
  </si>
  <si>
    <t>1333,1</t>
  </si>
  <si>
    <t>ΠΑΝΤΑΖΗΣ</t>
  </si>
  <si>
    <t>ΠΡΟΚΟΠΙΟΣ</t>
  </si>
  <si>
    <t>Χ631097</t>
  </si>
  <si>
    <t>ΜΠΑΜΠΟΥΣΗ</t>
  </si>
  <si>
    <t>Χ592266</t>
  </si>
  <si>
    <t>886,6</t>
  </si>
  <si>
    <t>1332,6</t>
  </si>
  <si>
    <t>ΧΙΚΑΡΟΥ</t>
  </si>
  <si>
    <t>ΑΑ969454</t>
  </si>
  <si>
    <t>1332,5</t>
  </si>
  <si>
    <t>ΚΟΥΤΤΙΚΑ</t>
  </si>
  <si>
    <t>ΑΑ310811</t>
  </si>
  <si>
    <t>ΕΥΣΤΑΘΙΟΥ</t>
  </si>
  <si>
    <t>Σ671904</t>
  </si>
  <si>
    <t>ΠΡΩΤΟΝΟΤΑΡΙΟΥ</t>
  </si>
  <si>
    <t>ΑΒ384942</t>
  </si>
  <si>
    <t>1330,5</t>
  </si>
  <si>
    <t>ΜΠΑΝΙΟΥ</t>
  </si>
  <si>
    <t>ΑΛΙΚΗ</t>
  </si>
  <si>
    <t>ΑΕ330394</t>
  </si>
  <si>
    <t>ΑΝΙΤΟΠΟΥΛΟΥ</t>
  </si>
  <si>
    <t>ΗΛΕΚΤΡΑ</t>
  </si>
  <si>
    <t>ΑΒ293460</t>
  </si>
  <si>
    <t>1329,5</t>
  </si>
  <si>
    <t>ΜΠΑΡΜΠΑΛΙΟΥ</t>
  </si>
  <si>
    <t>Χ653717</t>
  </si>
  <si>
    <t>ΓΟΥΣΑ</t>
  </si>
  <si>
    <t>Τ280730</t>
  </si>
  <si>
    <t>ΔΕΛΗΓΙΑΝΝΗ</t>
  </si>
  <si>
    <t>ΑΚ154734</t>
  </si>
  <si>
    <t>ΠΡΙΤΣΑ</t>
  </si>
  <si>
    <t>ΙΣΑΒΕΛΛΑ</t>
  </si>
  <si>
    <t>ΑΒ227446</t>
  </si>
  <si>
    <t>1328,5</t>
  </si>
  <si>
    <t>Ζυματίκα</t>
  </si>
  <si>
    <t>Ασημίνα</t>
  </si>
  <si>
    <t>ΑΜ825646</t>
  </si>
  <si>
    <t>1327,5</t>
  </si>
  <si>
    <t>ΙΩΑΝΝΟΥ</t>
  </si>
  <si>
    <t>ΑΒ090079</t>
  </si>
  <si>
    <t>1326,5</t>
  </si>
  <si>
    <t>ΒΑΣΙΛΕΙΟΥ</t>
  </si>
  <si>
    <t>ΑΜ639464</t>
  </si>
  <si>
    <t>687,5</t>
  </si>
  <si>
    <t>1325,5</t>
  </si>
  <si>
    <t>ΠΕΡΓΑΜΑΛΗ</t>
  </si>
  <si>
    <t>Σ550578</t>
  </si>
  <si>
    <t>676,5</t>
  </si>
  <si>
    <t>1324,5</t>
  </si>
  <si>
    <t>ΖΗΣΙΜΟΠΟΥΛΟΣ</t>
  </si>
  <si>
    <t>ΑΜ249987</t>
  </si>
  <si>
    <t>ΑΝΔΡΟΝΙΚΟΥ</t>
  </si>
  <si>
    <t>ΑΜ655620</t>
  </si>
  <si>
    <t>ΣΜΑΡΩ</t>
  </si>
  <si>
    <t>ΑΚ854463</t>
  </si>
  <si>
    <t>ΔΡΑΚΟΥΛΑΚΟΣ</t>
  </si>
  <si>
    <t>ΔΡΑΚΟΥΛΗΣ</t>
  </si>
  <si>
    <t>ΑΗ548006</t>
  </si>
  <si>
    <t>ΠΑΠΑΔΟΠΟΥΛΟΣ</t>
  </si>
  <si>
    <t>Χ775813</t>
  </si>
  <si>
    <t>1321,5</t>
  </si>
  <si>
    <t>ΜΟΥΧΙΜΟΓΛΟΥ</t>
  </si>
  <si>
    <t>ΑΕ102447</t>
  </si>
  <si>
    <t>ΜΑΘΙΟΥΔΑΚΗ</t>
  </si>
  <si>
    <t>ΑΙ444699</t>
  </si>
  <si>
    <t>ΑΝΑΣΤΑΣΙΟΥ</t>
  </si>
  <si>
    <t>Σ986352</t>
  </si>
  <si>
    <t>1317,5</t>
  </si>
  <si>
    <t>ΔΕΛΗ</t>
  </si>
  <si>
    <t>Φ384204</t>
  </si>
  <si>
    <t>1316,5</t>
  </si>
  <si>
    <t>ΣΤΥΛΙΑΡΑ</t>
  </si>
  <si>
    <t>ΠΑΝΤΕΛΕΗΜΩΝ</t>
  </si>
  <si>
    <t>Χ030528</t>
  </si>
  <si>
    <t>698,5</t>
  </si>
  <si>
    <t>ΨΥΛΟΓΛΟΥ</t>
  </si>
  <si>
    <t>Σ568166</t>
  </si>
  <si>
    <t>ΕΥΓΕΝΙΚΟΥ</t>
  </si>
  <si>
    <t>ΑΡΓΥΡΩ</t>
  </si>
  <si>
    <t>ΧΡΙΣΤΟΔΟΥΛΟΣ</t>
  </si>
  <si>
    <t>ΑΑ470348</t>
  </si>
  <si>
    <t>ΜΠΑΝΑΝΗΣ</t>
  </si>
  <si>
    <t>Χ000394</t>
  </si>
  <si>
    <t>ΜΠΑΜΠΕΣ</t>
  </si>
  <si>
    <t>ΣΤΑΜΟΣ</t>
  </si>
  <si>
    <t>ΑΒ268591</t>
  </si>
  <si>
    <t>760,1</t>
  </si>
  <si>
    <t>1315,1</t>
  </si>
  <si>
    <t>ΤΣΕΚΟΥ</t>
  </si>
  <si>
    <t>ΚΡΙΣΤΗ</t>
  </si>
  <si>
    <t>ΜΙΧΑΛΗΣ</t>
  </si>
  <si>
    <t>ΑΗ055940</t>
  </si>
  <si>
    <t>1314,5</t>
  </si>
  <si>
    <t>Χ562913</t>
  </si>
  <si>
    <t>1310,5</t>
  </si>
  <si>
    <t>ΚΟΜΑΝ</t>
  </si>
  <si>
    <t>ΑΝΝΑ ΜΑΡΙΑ</t>
  </si>
  <si>
    <t>ΛΟΥΣΙΑΝ</t>
  </si>
  <si>
    <t>Φ065701</t>
  </si>
  <si>
    <t>ΛΑΖΑΡΙΔΗ</t>
  </si>
  <si>
    <t>ΟΛΥΜΠΙΑ</t>
  </si>
  <si>
    <t>ΑΗ206651</t>
  </si>
  <si>
    <t>ΚΑΤΡΗ</t>
  </si>
  <si>
    <t>Φ448225</t>
  </si>
  <si>
    <t>1305,5</t>
  </si>
  <si>
    <t>ΜΗΤΡΟΠΟΥΛΟΣ</t>
  </si>
  <si>
    <t>ΑΕ701712</t>
  </si>
  <si>
    <t>ΣΟΥΛΗ</t>
  </si>
  <si>
    <t>ΑΑ078196</t>
  </si>
  <si>
    <t>1303,5</t>
  </si>
  <si>
    <t>ΜΠΑΝΑΙ</t>
  </si>
  <si>
    <t>Χ426403</t>
  </si>
  <si>
    <t>ΚΟΝΤΟΓΙΑΝΝΗΣ</t>
  </si>
  <si>
    <t>ΑΑ428620</t>
  </si>
  <si>
    <t>ΚΑΛΟΓΕΡΑΚΟΣ</t>
  </si>
  <si>
    <t>Σ241887</t>
  </si>
  <si>
    <t>ΑΡΑΜΠΑΤΖΗ</t>
  </si>
  <si>
    <t>Χ506180</t>
  </si>
  <si>
    <t>1302,5</t>
  </si>
  <si>
    <t>ΑΓΓΕΛΑΚΗΣ</t>
  </si>
  <si>
    <t>ΦΙΛΙΠΠΟΣ ΖΑΧΑΡΙΑΣ</t>
  </si>
  <si>
    <t>ΑΙ652501</t>
  </si>
  <si>
    <t>ΜΑΥΡΟΓΙΑΝΝΗ</t>
  </si>
  <si>
    <t>ΠΑΝΩΡΑΙΑ</t>
  </si>
  <si>
    <t>ΑΕ222380</t>
  </si>
  <si>
    <t>ΒΑΡΩΤΣΟΣ</t>
  </si>
  <si>
    <t>AM555908</t>
  </si>
  <si>
    <t>1301,5</t>
  </si>
  <si>
    <t>ΧΑΤΖΗΝΙΚΟΛΑΟΥ</t>
  </si>
  <si>
    <t>ΑΝΘΟΥΛΑ - ΓΕΩΡΓΙΑ</t>
  </si>
  <si>
    <t>ΚΥΡΙΑΖΗΣ</t>
  </si>
  <si>
    <t>Χ928200</t>
  </si>
  <si>
    <t>ΚΑΛΤΣΙΔΟΥ</t>
  </si>
  <si>
    <t>ΣΙΔΕΡΗΣ</t>
  </si>
  <si>
    <t>Χ309552</t>
  </si>
  <si>
    <t>ΑΡΙΣΤΕΑ</t>
  </si>
  <si>
    <t>ΑΒ326375</t>
  </si>
  <si>
    <t>999,9</t>
  </si>
  <si>
    <t>1300,9</t>
  </si>
  <si>
    <t>ΣΚΑΡΜΟΥΤΣΟΥ</t>
  </si>
  <si>
    <t>ΑΚ125271</t>
  </si>
  <si>
    <t>ΠΟΛΛΑΚΗΣ</t>
  </si>
  <si>
    <t>ΑΙ446479</t>
  </si>
  <si>
    <t>ΠΑΝΟΥΤΣΟΠΟΥΛΟΥ</t>
  </si>
  <si>
    <t>ΒΑΣΙΛΙΚΗ - ΜΑΡΙΑ</t>
  </si>
  <si>
    <t>ΑΙ097383</t>
  </si>
  <si>
    <t>ΚΑΛΟΓΕΡΑΚΟΥ</t>
  </si>
  <si>
    <t>Φ146546</t>
  </si>
  <si>
    <t>ΦΙΛΙΝΗΣ</t>
  </si>
  <si>
    <t>ΑΝΔΡΙΑΝΟΣ</t>
  </si>
  <si>
    <t>ΑΙ059469</t>
  </si>
  <si>
    <t>ΣΑΜΟΥΤΗ</t>
  </si>
  <si>
    <t>ΑΖ770812</t>
  </si>
  <si>
    <t>1294,5</t>
  </si>
  <si>
    <t>ΑΜ741746</t>
  </si>
  <si>
    <t>731,5</t>
  </si>
  <si>
    <t>1293,5</t>
  </si>
  <si>
    <t>ΑΝΔΡΕΟΥ</t>
  </si>
  <si>
    <t>ΑΒ193818</t>
  </si>
  <si>
    <t>ΛΕΜΠΕΣΗ</t>
  </si>
  <si>
    <t>Σ840023</t>
  </si>
  <si>
    <t>ΓΙΑΝΝΟΠΟΥΛΟΥ</t>
  </si>
  <si>
    <t>ΑΚ787378</t>
  </si>
  <si>
    <t>1291,5</t>
  </si>
  <si>
    <t>ΛΑΛΕΑΣ ΣΤΕΦΑΝΕΣΚΟΥ</t>
  </si>
  <si>
    <t>ΑΛΕΞΑΝΔΡΟΣ ΣΩΤΗΡΙΟΣ</t>
  </si>
  <si>
    <t>Φ135259</t>
  </si>
  <si>
    <t>ΓΡΗΓΟΡΙΑΔΟΥ</t>
  </si>
  <si>
    <t>Χ474701</t>
  </si>
  <si>
    <t>ΤΣΙΡΩΝΑ</t>
  </si>
  <si>
    <t>Χ114803</t>
  </si>
  <si>
    <t>ΑΝΔΡΟΥΛΑΚΑΚΗ</t>
  </si>
  <si>
    <t>Χ497717</t>
  </si>
  <si>
    <t>1054,9</t>
  </si>
  <si>
    <t>1288,9</t>
  </si>
  <si>
    <t>ΠΕΤΤΑ</t>
  </si>
  <si>
    <t>ΜΑΡΙΑΝΝΑ</t>
  </si>
  <si>
    <t>ΑΖ719898</t>
  </si>
  <si>
    <t>1288,5</t>
  </si>
  <si>
    <t>ΑΓΓΕΛΗ</t>
  </si>
  <si>
    <t>ΑΙ842718</t>
  </si>
  <si>
    <t>ΚΑΡΑΒΑΤΑΚΗΣ</t>
  </si>
  <si>
    <t>ΑΑ439096</t>
  </si>
  <si>
    <t>ΠΛΙΑΤΣΙΚΑΣ</t>
  </si>
  <si>
    <t>ΑΚ802741</t>
  </si>
  <si>
    <t>1286,5</t>
  </si>
  <si>
    <t>ΝΑΚΟΣ</t>
  </si>
  <si>
    <t>ΑΕ863411</t>
  </si>
  <si>
    <t>ΑΚ655332</t>
  </si>
  <si>
    <t>1285,5</t>
  </si>
  <si>
    <t>ΚΕΦΑΛΑ</t>
  </si>
  <si>
    <t>ΑΚ626631</t>
  </si>
  <si>
    <t>1284,5</t>
  </si>
  <si>
    <t>ΡΕΦΕΝΕ</t>
  </si>
  <si>
    <t>ΜΑΡΙΛΕΝΑ</t>
  </si>
  <si>
    <t>ΑΙ652176</t>
  </si>
  <si>
    <t>1283,5</t>
  </si>
  <si>
    <t>ΔΕΙΝΟΠΑΠΑΣ</t>
  </si>
  <si>
    <t>ΑΚ101411</t>
  </si>
  <si>
    <t>ΚΑΛΑΜΑΤΑΣ</t>
  </si>
  <si>
    <t>ΤΡΙΑΝΤΑΦΥΛΛΟΣ</t>
  </si>
  <si>
    <t>Τ021852</t>
  </si>
  <si>
    <t>ΠΙΣΠΙΡΙΚΟΣ</t>
  </si>
  <si>
    <t>ΜΙΧΑΗΛ-ΣΠΥΡΙΔΩΝ</t>
  </si>
  <si>
    <t>ΑΒ837839</t>
  </si>
  <si>
    <t>ΜΑΓΚΟΥ</t>
  </si>
  <si>
    <t>ΑΒ088416</t>
  </si>
  <si>
    <t>ΜΑΛΛΙΑΡΟΠΟΥΛΟΥ</t>
  </si>
  <si>
    <t>Χ991792</t>
  </si>
  <si>
    <t>ΛΑΜΠΡΟΥΣΗ</t>
  </si>
  <si>
    <t>ΑΙ805913</t>
  </si>
  <si>
    <t>ΚΟΚΚΑΛΗ</t>
  </si>
  <si>
    <t>Χ907674</t>
  </si>
  <si>
    <t>1279,5</t>
  </si>
  <si>
    <t>ΚΩΝΣΤΑΝΤΑΚΟΠΟΥΛΟΥ</t>
  </si>
  <si>
    <t>ΜΑΡΙΑΝΑ</t>
  </si>
  <si>
    <t>ΑΑ316902</t>
  </si>
  <si>
    <t>915,2</t>
  </si>
  <si>
    <t>1277,2</t>
  </si>
  <si>
    <t>ΚΡΙΤΣΑΚΗ</t>
  </si>
  <si>
    <t>Χ197106</t>
  </si>
  <si>
    <t>ΑΛΜΠΑΝΗΣ</t>
  </si>
  <si>
    <t>Σ773678</t>
  </si>
  <si>
    <t>ΠΑΡΑΣΚΕΥΗ ΑΝΝΑ</t>
  </si>
  <si>
    <t>ΑΑ076162</t>
  </si>
  <si>
    <t>1275,5</t>
  </si>
  <si>
    <t>ΤΣΙΜΠΙΔΑ</t>
  </si>
  <si>
    <t>Χ483401</t>
  </si>
  <si>
    <t>ΔΑΗΣ</t>
  </si>
  <si>
    <t>Τ526597</t>
  </si>
  <si>
    <t>1273,5</t>
  </si>
  <si>
    <t>ΠΑΠΑΔΑΚΗΣ</t>
  </si>
  <si>
    <t>ΠΟΛΥΒΙΟΣ</t>
  </si>
  <si>
    <t>ΑΗ466537</t>
  </si>
  <si>
    <t>ΛΑΜΠΡΑΚΗΣ</t>
  </si>
  <si>
    <t>ΑΗ460896</t>
  </si>
  <si>
    <t>1271,5</t>
  </si>
  <si>
    <t>ΚΟΥΒΕΛΙΩΤΗ</t>
  </si>
  <si>
    <t>ΑΑ000366</t>
  </si>
  <si>
    <t>ΧΕΙΡΑΚΗ</t>
  </si>
  <si>
    <t>ΡΑΦΑΕΛΑ</t>
  </si>
  <si>
    <t>ΔΑΜΙΑΝΟΣ</t>
  </si>
  <si>
    <t>ΑΜ923001</t>
  </si>
  <si>
    <t>ΝΤΑΤΣΗ</t>
  </si>
  <si>
    <t>ΑΒ246273</t>
  </si>
  <si>
    <t>ΟΙΚΟΝΟΜΟΥ</t>
  </si>
  <si>
    <t>ΑΝ108627</t>
  </si>
  <si>
    <t>ΜΑΚΗ</t>
  </si>
  <si>
    <t>ΑΚ377033</t>
  </si>
  <si>
    <t>1266,5</t>
  </si>
  <si>
    <t>ΡΙΖΟΥ</t>
  </si>
  <si>
    <t>ΑΒ977671</t>
  </si>
  <si>
    <t>1025,2</t>
  </si>
  <si>
    <t>1266,2</t>
  </si>
  <si>
    <t>ΠΑΠΑΓΕΩΡΓΑΚΟΠΟΥΛΟΣ</t>
  </si>
  <si>
    <t>ΑΒ381599</t>
  </si>
  <si>
    <t>1265,5</t>
  </si>
  <si>
    <t>ΘΕΟΔΩΡΟΠΟΥΛΟΥ</t>
  </si>
  <si>
    <t>ΧΡΥΣΟΥΛΑ-ΑΝΤΩΝΙΑ</t>
  </si>
  <si>
    <t>Χ047177</t>
  </si>
  <si>
    <t>ΑΕ036481</t>
  </si>
  <si>
    <t>ΠΑΠΑΓΙΑΝΝΗ</t>
  </si>
  <si>
    <t>ΑΝΕΖΑ</t>
  </si>
  <si>
    <t>Χ721582</t>
  </si>
  <si>
    <t>1263,5</t>
  </si>
  <si>
    <t>ΝΙΚΗΤΑΣ</t>
  </si>
  <si>
    <t>ΑΑ082624</t>
  </si>
  <si>
    <t>ΣΠΑΝΑΚΗΣ</t>
  </si>
  <si>
    <t>ΑΝ465065</t>
  </si>
  <si>
    <t>ΚΟΥΤΡΑΣ</t>
  </si>
  <si>
    <t>Σ848271</t>
  </si>
  <si>
    <t>ΜΑΙΡΗ</t>
  </si>
  <si>
    <t>ΑΙ259002</t>
  </si>
  <si>
    <t>1260,5</t>
  </si>
  <si>
    <t>ΑΕ041635</t>
  </si>
  <si>
    <t>ΑΚ676311</t>
  </si>
  <si>
    <t>1259,5</t>
  </si>
  <si>
    <t>ΜΠΑΛΛΑ</t>
  </si>
  <si>
    <t>ΧΑΡΑ</t>
  </si>
  <si>
    <t>ΑΚ021818</t>
  </si>
  <si>
    <t>ΤΡΟΥΠΗ</t>
  </si>
  <si>
    <t>ΑΑ349062</t>
  </si>
  <si>
    <t>1258,5</t>
  </si>
  <si>
    <t>ΑΜΙΡΙΔΟΥ</t>
  </si>
  <si>
    <t>ΣΟΥΖΑΝΝΑ</t>
  </si>
  <si>
    <t>ΑΑ2259378</t>
  </si>
  <si>
    <t>ΤΖΕΚΑΚΗΣ</t>
  </si>
  <si>
    <t>ΑΚ535045</t>
  </si>
  <si>
    <t>599,5</t>
  </si>
  <si>
    <t>1257,5</t>
  </si>
  <si>
    <t>ΖΑΦΕΙΡΗ</t>
  </si>
  <si>
    <t>Χ874327</t>
  </si>
  <si>
    <t>1256,5</t>
  </si>
  <si>
    <t>ΑΝΑΣΤΑΣΟΠΟΥΛΟΣ</t>
  </si>
  <si>
    <t>ΑΕ995430</t>
  </si>
  <si>
    <t>ΧΑΝΔΟΛΙΑΣ</t>
  </si>
  <si>
    <t>ΑΒ195287</t>
  </si>
  <si>
    <t>ΝΙΚΟΛΟΥΔΗ</t>
  </si>
  <si>
    <t>ΕΜΜΑΝΟΥΕΛΑ</t>
  </si>
  <si>
    <t>ΑΒ481093</t>
  </si>
  <si>
    <t>ΚΑΛΟΜΟΙΡΗΣ</t>
  </si>
  <si>
    <t>ΡΙΖΟΣ</t>
  </si>
  <si>
    <t>ΑΖ616481</t>
  </si>
  <si>
    <t>ΔΙΟΝΥΣΟΠΟΥΛΟΥ</t>
  </si>
  <si>
    <t>ΑΜ745548</t>
  </si>
  <si>
    <t>ΠΕΤΡΟΠΟΥΛΟΥ</t>
  </si>
  <si>
    <t>ΑΖ729765</t>
  </si>
  <si>
    <t>ΧΑΝΤΖΗ</t>
  </si>
  <si>
    <t>ΜΑΡΙΑ ΕΥΦΡΟΣΥΝΗ</t>
  </si>
  <si>
    <t>ΑΝ037522</t>
  </si>
  <si>
    <t>ΠΑΛΑΝΤΖΑ</t>
  </si>
  <si>
    <t>Φ265292</t>
  </si>
  <si>
    <t>ΠΑΡΑΣΚΕΥΑΙΔΟΥ</t>
  </si>
  <si>
    <t>Χ418010</t>
  </si>
  <si>
    <t>ΣΠΥΡΟΥΛΙΑΣ</t>
  </si>
  <si>
    <t>ΑΝ255121</t>
  </si>
  <si>
    <t>ΣΤΕΛΛΑΣ</t>
  </si>
  <si>
    <t>Χ797992</t>
  </si>
  <si>
    <t>ΒΕΡΡΑΣ</t>
  </si>
  <si>
    <t>ΑΙ017488</t>
  </si>
  <si>
    <t>1246,5</t>
  </si>
  <si>
    <t>ΠΑΠΑΔΟΜΑΝΩΛΑΚΗ</t>
  </si>
  <si>
    <t>ΤΑΤΙΑΝΗ</t>
  </si>
  <si>
    <t>ΑΒ569023</t>
  </si>
  <si>
    <t>1244,5</t>
  </si>
  <si>
    <t>ΛΙΤΟΒΟΛΗ</t>
  </si>
  <si>
    <t>Φ313772</t>
  </si>
  <si>
    <t>ΜΑΡΙΑ ΕΛΕΝΗ</t>
  </si>
  <si>
    <t>ΑΒ933777</t>
  </si>
  <si>
    <t>1243,5</t>
  </si>
  <si>
    <t>ΤΣΑΛΑΜΠΑΜΠΟΥΝΗ</t>
  </si>
  <si>
    <t>Φ123143</t>
  </si>
  <si>
    <t>ΑΝΤΩΝΙΑΔΟΥ</t>
  </si>
  <si>
    <t>ΣΤΕΡΓΙΟΣ</t>
  </si>
  <si>
    <t>ΑΗ016722</t>
  </si>
  <si>
    <t>1242,5</t>
  </si>
  <si>
    <t>ΜΕΡΙΑΝΟΣ</t>
  </si>
  <si>
    <t>ΑΖ255609</t>
  </si>
  <si>
    <t>ΕΝΕΠΕΚΙΔΟΥ</t>
  </si>
  <si>
    <t>ΚΥΠΡΙΑΝΟΣ</t>
  </si>
  <si>
    <t>Φ356101</t>
  </si>
  <si>
    <t>1240,5</t>
  </si>
  <si>
    <t>ΤΣΑΓΙΑ</t>
  </si>
  <si>
    <t>ΑΑ869157</t>
  </si>
  <si>
    <t>754,6</t>
  </si>
  <si>
    <t>1239,6</t>
  </si>
  <si>
    <t>Χ608135</t>
  </si>
  <si>
    <t>1239,5</t>
  </si>
  <si>
    <t>ΔΙΑΜΑΝΤΗ</t>
  </si>
  <si>
    <t>Φ488152</t>
  </si>
  <si>
    <t>651,2</t>
  </si>
  <si>
    <t>1239,2</t>
  </si>
  <si>
    <t>Christodoulou</t>
  </si>
  <si>
    <t>Polymnia</t>
  </si>
  <si>
    <t>Νικόλαος</t>
  </si>
  <si>
    <t>ΑΜ101096</t>
  </si>
  <si>
    <t>ΜΕΞΗ</t>
  </si>
  <si>
    <t>ΑΜΑΛΙΑ</t>
  </si>
  <si>
    <t>ΓΙΩΡΓΟ</t>
  </si>
  <si>
    <t>ΑΗ212400</t>
  </si>
  <si>
    <t>1237,5</t>
  </si>
  <si>
    <t>ΚΑΠΠΟΣ</t>
  </si>
  <si>
    <t>ΑΗ578143</t>
  </si>
  <si>
    <t>ΓΚΟΥΓΚΟΥΔΗ</t>
  </si>
  <si>
    <t>ΕΥΠΡΑΞΙΑ</t>
  </si>
  <si>
    <t>Χ733139</t>
  </si>
  <si>
    <t>944,9</t>
  </si>
  <si>
    <t>1236,9</t>
  </si>
  <si>
    <t>ΚΑΤΣΟΥΛΟΣ</t>
  </si>
  <si>
    <t>ΑΜ190825</t>
  </si>
  <si>
    <t>Χ865425</t>
  </si>
  <si>
    <t>ΜΠΑΛΤΖΑΚΗΣ</t>
  </si>
  <si>
    <t>ΑΑ373041</t>
  </si>
  <si>
    <t>1232,5</t>
  </si>
  <si>
    <t>ΚΡΙΚΟΥ</t>
  </si>
  <si>
    <t>ΑΙ876461</t>
  </si>
  <si>
    <t>ΚΑΤΑΡΑ</t>
  </si>
  <si>
    <t>Χ536316</t>
  </si>
  <si>
    <t>1230,5</t>
  </si>
  <si>
    <t>ΜΑΝΤΕΛΑ</t>
  </si>
  <si>
    <t>ΒΑΓΙΑ</t>
  </si>
  <si>
    <t>Χ367629</t>
  </si>
  <si>
    <t>1228,5</t>
  </si>
  <si>
    <t>ΣΟΥΛΔΑΤΟΥ</t>
  </si>
  <si>
    <t>ΝΙΚΟΛΕΤΑ</t>
  </si>
  <si>
    <t>ΑΗ605090</t>
  </si>
  <si>
    <t>ΑΛΕΞΑΝΔΡΙΔΗΣ</t>
  </si>
  <si>
    <t>Χ605739</t>
  </si>
  <si>
    <t>Χ510325</t>
  </si>
  <si>
    <t>1224,5</t>
  </si>
  <si>
    <t>ΑΛΑΦΟΓΙΑΝΝΗ</t>
  </si>
  <si>
    <t>ΠΑΝΑΓΙΩΤΑ-ΙΟΛΗ</t>
  </si>
  <si>
    <t>ΑΗ082748</t>
  </si>
  <si>
    <t>ΑΓΛΑΙΑ</t>
  </si>
  <si>
    <t>Φ275857</t>
  </si>
  <si>
    <t>787,6</t>
  </si>
  <si>
    <t>1223,6</t>
  </si>
  <si>
    <t>ΜΗΛΙΑ</t>
  </si>
  <si>
    <t>Χ180323</t>
  </si>
  <si>
    <t>1223,5</t>
  </si>
  <si>
    <t>ΑΡΓΥΡΟΠΟΥΛΟΥ</t>
  </si>
  <si>
    <t>ΣΤΑΜΑΤΑ-ΑΛΕΞΑΝΔΡΑ</t>
  </si>
  <si>
    <t>ΑΙ112717</t>
  </si>
  <si>
    <t>ΚΟΥΤΣΟΥΤΗ</t>
  </si>
  <si>
    <t>ΠΑΣΧΑΛΙΝΑ</t>
  </si>
  <si>
    <t>Χ743915</t>
  </si>
  <si>
    <t>ΡΟΥΣΙΑΝΙΔΗ</t>
  </si>
  <si>
    <t>ΑΗ020537</t>
  </si>
  <si>
    <t>1221,5</t>
  </si>
  <si>
    <t>ΚΟΤΣΕΚΙΔΟΥ</t>
  </si>
  <si>
    <t>ΑΒ117687</t>
  </si>
  <si>
    <t>ΑΠΟΣΤΟΛΟΠΟΥΛΟΥ</t>
  </si>
  <si>
    <t>Χ305024</t>
  </si>
  <si>
    <t>ΜΑΚΡΗ</t>
  </si>
  <si>
    <t>ΑΗ563593</t>
  </si>
  <si>
    <t>1220,5</t>
  </si>
  <si>
    <t>ΖΟΥΜΠΟΥΛΗΣ</t>
  </si>
  <si>
    <t>ΑΝ049031</t>
  </si>
  <si>
    <t>ΜΠΑΚΟΓΙΑΝΝΗ</t>
  </si>
  <si>
    <t>ΑΝΔΡΙΑΝΑ</t>
  </si>
  <si>
    <t>ΑΜ230785</t>
  </si>
  <si>
    <t>ΤΣΑΛΑΜΙΔΑ</t>
  </si>
  <si>
    <t>ΚΑΛΛΙΝΙΚΗ</t>
  </si>
  <si>
    <t>Χ295908</t>
  </si>
  <si>
    <t>ΦΛΙΑΚΟΣ</t>
  </si>
  <si>
    <t>ΑΑ018634</t>
  </si>
  <si>
    <t>ΚΟΥΤΡΟΥΛΗ</t>
  </si>
  <si>
    <t>ΑΚ555499</t>
  </si>
  <si>
    <t>1213,5</t>
  </si>
  <si>
    <t>ΚΟΥΚΛΑΚΗ</t>
  </si>
  <si>
    <t>ΑΚ103685</t>
  </si>
  <si>
    <t>1212,5</t>
  </si>
  <si>
    <t>ΦΡΑΓΚΟΣ</t>
  </si>
  <si>
    <t>KRISTO</t>
  </si>
  <si>
    <t>Α347918</t>
  </si>
  <si>
    <t>ΔΑΝΔΟΛΑΣ</t>
  </si>
  <si>
    <t>ΞΕΝΟΦΩΝ</t>
  </si>
  <si>
    <t>Χ673703</t>
  </si>
  <si>
    <t>622,6</t>
  </si>
  <si>
    <t>1210,6</t>
  </si>
  <si>
    <t>ΜΑΓΓΙΝΑ</t>
  </si>
  <si>
    <t>ΑΙ022089</t>
  </si>
  <si>
    <t>ΝΤΑΒΑΛΙΑ</t>
  </si>
  <si>
    <t>ΑΒ108877</t>
  </si>
  <si>
    <t>1208,5</t>
  </si>
  <si>
    <t>ΠΑΠΑΝΙΚΟΛΑΟΥ</t>
  </si>
  <si>
    <t>Χ229196</t>
  </si>
  <si>
    <t>ΓΕΩΡΓΙΑΔΗΣ</t>
  </si>
  <si>
    <t>ΑΝΕΣΤΗΣ</t>
  </si>
  <si>
    <t>ΑΗ168828</t>
  </si>
  <si>
    <t>ΦΟΥΣΕΚΗ</t>
  </si>
  <si>
    <t>Χ147586</t>
  </si>
  <si>
    <t>ΠΑΓΩΝΗ</t>
  </si>
  <si>
    <t>ΑΖ352171</t>
  </si>
  <si>
    <t>ΚΕΦΑΛΑΣ</t>
  </si>
  <si>
    <t>Χ142064</t>
  </si>
  <si>
    <t>1206,5</t>
  </si>
  <si>
    <t>ΔΡΥ</t>
  </si>
  <si>
    <t>Χ021819</t>
  </si>
  <si>
    <t>ΚΡΙΚΗ</t>
  </si>
  <si>
    <t>ΕΡΜΙΟΝΗ</t>
  </si>
  <si>
    <t>ΑΒ108115</t>
  </si>
  <si>
    <t>ΑΝΑΘΡΕΠΤΑΚΗ</t>
  </si>
  <si>
    <t>ΑΙ942902</t>
  </si>
  <si>
    <t>ΜΠΙΣΤΙΝΤΖΑΝΟΥ</t>
  </si>
  <si>
    <t>Χ780289</t>
  </si>
  <si>
    <t>1200,5</t>
  </si>
  <si>
    <t>ΑΝΔΡΕΑΔΟΥ</t>
  </si>
  <si>
    <t>ΕΙΡΗΝΗ-ΕΥΤΥΧΙΑ</t>
  </si>
  <si>
    <t>ΑΕ874651</t>
  </si>
  <si>
    <t>ΜΥΚΟΝΙΑΤΗΣ</t>
  </si>
  <si>
    <t>ΑΜ241829</t>
  </si>
  <si>
    <t>562,1</t>
  </si>
  <si>
    <t>1200,1</t>
  </si>
  <si>
    <t>ΚΟΥΡΜΠΕΛΗ</t>
  </si>
  <si>
    <t>ΘΕΜΗ</t>
  </si>
  <si>
    <t>ΑΕ252356</t>
  </si>
  <si>
    <t>1199,5</t>
  </si>
  <si>
    <t>ΔΟΥΝΙΑΣ</t>
  </si>
  <si>
    <t>ΜΠΑΛΑΤΟΓΛΟΥ</t>
  </si>
  <si>
    <t>ΑΗ195547</t>
  </si>
  <si>
    <t>734,8</t>
  </si>
  <si>
    <t>1198,8</t>
  </si>
  <si>
    <t>ΤΟΥΜΑΡΑ</t>
  </si>
  <si>
    <t>ΑΖ069994</t>
  </si>
  <si>
    <t>1198,5</t>
  </si>
  <si>
    <t>Σ889997</t>
  </si>
  <si>
    <t>ΣΑΡΑΝΤΟΠΟΥΛΟΣ</t>
  </si>
  <si>
    <t>ΜΕΓΑΚΛΗΣ</t>
  </si>
  <si>
    <t>ΤΡΥΦΩΝ</t>
  </si>
  <si>
    <t>Χ839824</t>
  </si>
  <si>
    <t>1197,5</t>
  </si>
  <si>
    <t>ΑΝ154246</t>
  </si>
  <si>
    <t>ΧΡΥΣΙΚΟΥ</t>
  </si>
  <si>
    <t>Χ928565</t>
  </si>
  <si>
    <t>1195,5</t>
  </si>
  <si>
    <t>ΑΥΓΕΡΙΝΟΥ</t>
  </si>
  <si>
    <t>ΑΙ144592</t>
  </si>
  <si>
    <t>ΓΟΥΛΟΔΗΜΟΥ</t>
  </si>
  <si>
    <t>Χ581140</t>
  </si>
  <si>
    <t>1192,5</t>
  </si>
  <si>
    <t>ΚΑΜΠΟΥΡΑΚΗ</t>
  </si>
  <si>
    <t>ΑΝΑΣΤΑΣΙΑ ΔΗΜΗΤΡΑ</t>
  </si>
  <si>
    <t>ΑΒ217652</t>
  </si>
  <si>
    <t>ΖΑΜΠΟΥ</t>
  </si>
  <si>
    <t>ΑΙ056726</t>
  </si>
  <si>
    <t>ΡΟΥΣΟΥ</t>
  </si>
  <si>
    <t>ΕΛΕΝΑ</t>
  </si>
  <si>
    <t>ΙΟΝ</t>
  </si>
  <si>
    <t>ΑΝ102124</t>
  </si>
  <si>
    <t>1190,5</t>
  </si>
  <si>
    <t>ΜΑΖΩΜΕΝΟΣ</t>
  </si>
  <si>
    <t>Χ171963</t>
  </si>
  <si>
    <t>ΚΟΡΥΦΙΔΟΥ</t>
  </si>
  <si>
    <t>ΣΕΒΑΣΤΗ</t>
  </si>
  <si>
    <t>ΣΑΒΒΑΣ</t>
  </si>
  <si>
    <t>ΑΗ379181</t>
  </si>
  <si>
    <t>ΒΑΣΤΑΚΗ</t>
  </si>
  <si>
    <t>ΑΖ601182</t>
  </si>
  <si>
    <t>ΜΠΑΚΑΓΙΑΝΝΗΣ</t>
  </si>
  <si>
    <t>ΔΙΟΓΕΝΗΣ</t>
  </si>
  <si>
    <t>ΑΖ238450</t>
  </si>
  <si>
    <t>1186,5</t>
  </si>
  <si>
    <t>ΑΜ483836</t>
  </si>
  <si>
    <t>1185,5</t>
  </si>
  <si>
    <t>ΚΑΠΠΗ</t>
  </si>
  <si>
    <t>ΕΛΛΗ</t>
  </si>
  <si>
    <t>ΑΙ137647</t>
  </si>
  <si>
    <t>888,8</t>
  </si>
  <si>
    <t>1184,8</t>
  </si>
  <si>
    <t>ΑΒ297458</t>
  </si>
  <si>
    <t>ΤΡΙΚΚΑ</t>
  </si>
  <si>
    <t>ΑΚ715833</t>
  </si>
  <si>
    <t>1181,5</t>
  </si>
  <si>
    <t>ΣΑΣΕΛΟΥ</t>
  </si>
  <si>
    <t>ΚΟΜΝΗΝΟΣ</t>
  </si>
  <si>
    <t>Τ191692</t>
  </si>
  <si>
    <t>533,5</t>
  </si>
  <si>
    <t>ΑΜ543934</t>
  </si>
  <si>
    <t>1179,5</t>
  </si>
  <si>
    <t>ΧΑΝΑΝΑ</t>
  </si>
  <si>
    <t>Χ409376</t>
  </si>
  <si>
    <t>ΣΤΟΥΚΑ</t>
  </si>
  <si>
    <t>Τ148010</t>
  </si>
  <si>
    <t>ΠΕΤΡΟΥ</t>
  </si>
  <si>
    <t>ΑΕ518391</t>
  </si>
  <si>
    <t>ΣΠΥΡΟΥΛΙΑ</t>
  </si>
  <si>
    <t>Χ593992</t>
  </si>
  <si>
    <t>1177,5</t>
  </si>
  <si>
    <t>ΚΟΝΔΥΛΗΣ</t>
  </si>
  <si>
    <t>ΑΙ555035</t>
  </si>
  <si>
    <t>ΣΠΑΘΑΡΟΥ</t>
  </si>
  <si>
    <t>ΑΝ017624</t>
  </si>
  <si>
    <t>720,5</t>
  </si>
  <si>
    <t>1175,5</t>
  </si>
  <si>
    <t>ΠΛΙΟΣ</t>
  </si>
  <si>
    <t>ΑΝ275409</t>
  </si>
  <si>
    <t>ΚΙΝΤΗ</t>
  </si>
  <si>
    <t>ΦΩΤΕΙΝΗ-ΗΡΩ</t>
  </si>
  <si>
    <t>Χ791814</t>
  </si>
  <si>
    <t>1174,5</t>
  </si>
  <si>
    <t>ΓΕΡΑΚΗΣ</t>
  </si>
  <si>
    <t>ΑΚ555106</t>
  </si>
  <si>
    <t>632,5</t>
  </si>
  <si>
    <t xml:space="preserve">Κόκκαλη </t>
  </si>
  <si>
    <t xml:space="preserve">Αφροδίτη </t>
  </si>
  <si>
    <t xml:space="preserve">Ηλίας </t>
  </si>
  <si>
    <t>ΜΑΛΑΓΚΟΝΙΑΡΗ</t>
  </si>
  <si>
    <t>ΑΖ213580</t>
  </si>
  <si>
    <t>ΚΑΡΑΜΠΑΛΙΚΗΣ</t>
  </si>
  <si>
    <t>Χ682613</t>
  </si>
  <si>
    <t>ΚΑΠΕΡΩΝΗ</t>
  </si>
  <si>
    <t>ΔΙΟΝΥΣΙΑ</t>
  </si>
  <si>
    <t>Τ887049</t>
  </si>
  <si>
    <t>ΜΠΙΤΑΣ</t>
  </si>
  <si>
    <t>Φ064897</t>
  </si>
  <si>
    <t>EZRATI</t>
  </si>
  <si>
    <t>SARA NINA</t>
  </si>
  <si>
    <t>ΑΛΜΠΕΡ</t>
  </si>
  <si>
    <t>YA2109295</t>
  </si>
  <si>
    <t>783,2</t>
  </si>
  <si>
    <t>1170,2</t>
  </si>
  <si>
    <t>ΑΜΑΝΑΤΙΔΗΣ</t>
  </si>
  <si>
    <t>ΑΝ346546</t>
  </si>
  <si>
    <t>ΡΟΥΣΣΟΥ</t>
  </si>
  <si>
    <t>ΒΑΣΙΛΕΙΟΣ ΙΩΑΝΝΗΣ ΜΑΡΙΟΣ</t>
  </si>
  <si>
    <t>ΑΒ038087</t>
  </si>
  <si>
    <t>ΣΧΙΖΑ</t>
  </si>
  <si>
    <t xml:space="preserve">ΒΑΣΙΛΙΚΗ </t>
  </si>
  <si>
    <t>ΑΖ073601</t>
  </si>
  <si>
    <t>ΜΕΓΑΛΟΥ</t>
  </si>
  <si>
    <t>Φ224250</t>
  </si>
  <si>
    <t>ΣΓΑΝΤΖΟΝΥΧΑΣ</t>
  </si>
  <si>
    <t>Χ101978</t>
  </si>
  <si>
    <t>529,1</t>
  </si>
  <si>
    <t>1167,1</t>
  </si>
  <si>
    <t>Σ621541</t>
  </si>
  <si>
    <t>ΛΑΓΙΟΥ</t>
  </si>
  <si>
    <t>ΑΦΡΟΔΙΤΗ</t>
  </si>
  <si>
    <t>ΑΒ646013</t>
  </si>
  <si>
    <t>ΒΕΟΥ</t>
  </si>
  <si>
    <t>ΑΡΕΤΗ</t>
  </si>
  <si>
    <t>Χ414251</t>
  </si>
  <si>
    <t>ΦΑΦΟΥΤΗ</t>
  </si>
  <si>
    <t>ΑΜ211483</t>
  </si>
  <si>
    <t>ΣΕΖΙΟΣ</t>
  </si>
  <si>
    <t>ΑΕ827746</t>
  </si>
  <si>
    <t>1162,5</t>
  </si>
  <si>
    <t>ΠΑΓΙΑΥΛΑΣ</t>
  </si>
  <si>
    <t>ΑΒ318804</t>
  </si>
  <si>
    <t>ΠΑΠΑΟΙΚΟΝΟΜΟΥ</t>
  </si>
  <si>
    <t>ΑΒ130857</t>
  </si>
  <si>
    <t>Φ055590</t>
  </si>
  <si>
    <t>1159,5</t>
  </si>
  <si>
    <t>ΣΠΥΡΟΠΟΥΛΟΣ</t>
  </si>
  <si>
    <t>Φ083245</t>
  </si>
  <si>
    <t>ΚΑΚΟΥΡΗ</t>
  </si>
  <si>
    <t>ΑΝ479248</t>
  </si>
  <si>
    <t>1158,5</t>
  </si>
  <si>
    <t>ΒΑΛΔΟΥΜΑΣ</t>
  </si>
  <si>
    <t>ΑΒ323338</t>
  </si>
  <si>
    <t>ΧΡΟΝΟΠΟΥΛΟΣ</t>
  </si>
  <si>
    <t>ΑΗ206401</t>
  </si>
  <si>
    <t>ΝΑΚΟΥ</t>
  </si>
  <si>
    <t>Χ586841</t>
  </si>
  <si>
    <t>ΣΟΥΛΑΝΙΑΚΟΥ</t>
  </si>
  <si>
    <t>ΣΟΝΙΛΑ</t>
  </si>
  <si>
    <t>ΓΚΕΖΙΜ</t>
  </si>
  <si>
    <t>ΑΚ248471</t>
  </si>
  <si>
    <t>ΜΑΝΙΑΤΗ</t>
  </si>
  <si>
    <t>ΑΒ199486</t>
  </si>
  <si>
    <t>ΜΙΧΑΛΙΟΥ</t>
  </si>
  <si>
    <t>ΑΙ837875</t>
  </si>
  <si>
    <t>1150,5</t>
  </si>
  <si>
    <t>ΑΝΤΩΝΟΠΟΥΛΟΣ</t>
  </si>
  <si>
    <t>ΠΟΛΥΚΑΡΠΟΣ</t>
  </si>
  <si>
    <t>Φ143284</t>
  </si>
  <si>
    <t>1149,5</t>
  </si>
  <si>
    <t>ΑΕ517190</t>
  </si>
  <si>
    <t>ΤΑΣΙΟΥ</t>
  </si>
  <si>
    <t>ΜΑΡΘΑ</t>
  </si>
  <si>
    <t>ΑΙ310393</t>
  </si>
  <si>
    <t>Μιχαηλίδης</t>
  </si>
  <si>
    <t>Γεώργιος</t>
  </si>
  <si>
    <t>ΝΙΚΟΔΗΜΟΣ</t>
  </si>
  <si>
    <t>ΑΜ681546</t>
  </si>
  <si>
    <t>1141,5</t>
  </si>
  <si>
    <t>ΡΟΙΔΟΥ</t>
  </si>
  <si>
    <t>ΠΑΣΧΑΛΙΑ</t>
  </si>
  <si>
    <t>ΑΒ717801</t>
  </si>
  <si>
    <t>1140,5</t>
  </si>
  <si>
    <t>ΚΡΙΝΗ</t>
  </si>
  <si>
    <t>ΑΕ270198</t>
  </si>
  <si>
    <t>1139,5</t>
  </si>
  <si>
    <t>ΑΠΟΣΤΟΛΑΚΗΣ</t>
  </si>
  <si>
    <t>ΑΗ766003</t>
  </si>
  <si>
    <t>ΑΒ302486</t>
  </si>
  <si>
    <t>1138,5</t>
  </si>
  <si>
    <t>ΚΟΛΛΥΡΟΥ</t>
  </si>
  <si>
    <t>ΑΜ314311</t>
  </si>
  <si>
    <t>Σ805920</t>
  </si>
  <si>
    <t>1137,5</t>
  </si>
  <si>
    <t>ΑΒ113013</t>
  </si>
  <si>
    <t>ΧΡΥΣΙΝΑΣ</t>
  </si>
  <si>
    <t>ΑΜ510315</t>
  </si>
  <si>
    <t>Χ516862</t>
  </si>
  <si>
    <t>1133,5</t>
  </si>
  <si>
    <t>Τ377974</t>
  </si>
  <si>
    <t>ΣΤΑΛΙΑ</t>
  </si>
  <si>
    <t>ΑΙ699081</t>
  </si>
  <si>
    <t>ΚΑΣΣΟΥ</t>
  </si>
  <si>
    <t>ΑΒ592774</t>
  </si>
  <si>
    <t>1130,5</t>
  </si>
  <si>
    <t>ΑΕ313961</t>
  </si>
  <si>
    <t>ΤΖΟΥΜΠΑ</t>
  </si>
  <si>
    <t>ΑΚ062896</t>
  </si>
  <si>
    <t>ΚΥΡΙΤΣΗΣ</t>
  </si>
  <si>
    <t>ΑΜ603028</t>
  </si>
  <si>
    <t>854,7</t>
  </si>
  <si>
    <t>1129,7</t>
  </si>
  <si>
    <t>ΔΗΜΗΤΡΙΑΔΗ</t>
  </si>
  <si>
    <t>ΜΑΡΙΑ ΕΛΙΣΣΑΒΕΤ</t>
  </si>
  <si>
    <t>ΠΑΡΙΣ</t>
  </si>
  <si>
    <t>ΑΕ162152</t>
  </si>
  <si>
    <t>1129,5</t>
  </si>
  <si>
    <t>ΠΛΙΑΤΣΙΚΑ</t>
  </si>
  <si>
    <t>Χ040267</t>
  </si>
  <si>
    <t>742,5</t>
  </si>
  <si>
    <t>ΤΣΙΡΟΠΟΥΛΟΥ</t>
  </si>
  <si>
    <t>ΚΑΡΟΛΙΝΑ</t>
  </si>
  <si>
    <t>ΑΙ049769</t>
  </si>
  <si>
    <t>1127,5</t>
  </si>
  <si>
    <t>ΝΤΑΡΜΑΣ</t>
  </si>
  <si>
    <t>ΑΒ385277</t>
  </si>
  <si>
    <t>775,5</t>
  </si>
  <si>
    <t>ΣΜΟΥΣΤΟΠΟΥΛΟΥ</t>
  </si>
  <si>
    <t>ΧΑΡΙΛΑΟΣ</t>
  </si>
  <si>
    <t>ΑΗ013022</t>
  </si>
  <si>
    <t>1125,5</t>
  </si>
  <si>
    <t>ΧΑΡΙΤΟΥ</t>
  </si>
  <si>
    <t>ΘΕΛΕΞΙΟΠΗ</t>
  </si>
  <si>
    <t>ΑΜ338178</t>
  </si>
  <si>
    <t>ΔΗΜΟΠΟΥΛΟΣ</t>
  </si>
  <si>
    <t>ΑΑ428882</t>
  </si>
  <si>
    <t>ΓΥΦΤΟΚΩΣΤΑ</t>
  </si>
  <si>
    <t>ΕΙΡΗΝΗ ΧΡΥΣΟΒΑΛΑΝΤΟΥ</t>
  </si>
  <si>
    <t xml:space="preserve">ΕΥΑΓΓΕΛΟΣ </t>
  </si>
  <si>
    <t>Τ258682</t>
  </si>
  <si>
    <t>ΑΗ708808</t>
  </si>
  <si>
    <t>1122,5</t>
  </si>
  <si>
    <t>ΣΦΑΚΙΑΝΑΚΗ</t>
  </si>
  <si>
    <t>ΕΥΦΗΜΙΑ</t>
  </si>
  <si>
    <t>ΑΕ509708</t>
  </si>
  <si>
    <t>1121,5</t>
  </si>
  <si>
    <t>ΜΕΓΑ</t>
  </si>
  <si>
    <t>ΝΑΥΣΙΚΑ</t>
  </si>
  <si>
    <t>Χ717889</t>
  </si>
  <si>
    <t>ΡΟΥΠΑ</t>
  </si>
  <si>
    <t>ΑΑ025640</t>
  </si>
  <si>
    <t>1120,5</t>
  </si>
  <si>
    <t>ΠΛΑΤΑΡΑΣ</t>
  </si>
  <si>
    <t>Φ062104</t>
  </si>
  <si>
    <t>1119,5</t>
  </si>
  <si>
    <t>ΠΑΠΑΕΥΘΥΜΙΟΥ</t>
  </si>
  <si>
    <t>Χ985610</t>
  </si>
  <si>
    <t>ΨΩΙΝΟΥ</t>
  </si>
  <si>
    <t>ΜΑΥΡΟΕΙΔΗΣ</t>
  </si>
  <si>
    <t>ΑΑ425855</t>
  </si>
  <si>
    <t>ΔΡΙΤΣΟΥΛΑΣ</t>
  </si>
  <si>
    <t>ΑΑ791017</t>
  </si>
  <si>
    <t>ΖΑΧΑΡΟΠΟΥΛΟΥ</t>
  </si>
  <si>
    <t>ΑΑ322181</t>
  </si>
  <si>
    <t>1117,5</t>
  </si>
  <si>
    <t>ΑΛΜΠΑΝΗ</t>
  </si>
  <si>
    <t>ΑΒ767168</t>
  </si>
  <si>
    <t>ΤΖΟΥΡΤΖΙΩΤΗ</t>
  </si>
  <si>
    <t>ΚΑΛΛΙΤΣΑ</t>
  </si>
  <si>
    <t>ΑΗ004470</t>
  </si>
  <si>
    <t>1115,4</t>
  </si>
  <si>
    <t>ΒΑΣΙΛΑΤΟΥ</t>
  </si>
  <si>
    <t>ΑΒ417590</t>
  </si>
  <si>
    <t>ΧΟΝΔΡΑΛΗ</t>
  </si>
  <si>
    <t>ΕΛΕΝΗ ΙΩΑΝΝΑ</t>
  </si>
  <si>
    <t>ΑΙ979437</t>
  </si>
  <si>
    <t>1114,5</t>
  </si>
  <si>
    <t>Χ379714</t>
  </si>
  <si>
    <t>ΑΜ285938</t>
  </si>
  <si>
    <t>1111,5</t>
  </si>
  <si>
    <t>ΓΟΡΓΟΥΛΗ</t>
  </si>
  <si>
    <t>Χ955108</t>
  </si>
  <si>
    <t>ΚΟΥΤΣΑΝΤΩΝΗ</t>
  </si>
  <si>
    <t>ΑΙ750805</t>
  </si>
  <si>
    <t>ΚΑΜΠΑΝΗΣ</t>
  </si>
  <si>
    <t>ΘΕΟΦΡΑΣΤΟΣ</t>
  </si>
  <si>
    <t>Χ704237</t>
  </si>
  <si>
    <t>1109,5</t>
  </si>
  <si>
    <t>ΛΥΓΚΑ</t>
  </si>
  <si>
    <t>ΠΕΤΡΟΥΛΑ</t>
  </si>
  <si>
    <t>ΑΙ096825</t>
  </si>
  <si>
    <t>ΚΥΡΙΑΚΟΥΛΛΑΚΗΣ</t>
  </si>
  <si>
    <t>ΣΤΕΡΓΟΣ</t>
  </si>
  <si>
    <t>ΑΒ176629</t>
  </si>
  <si>
    <t>ΣΤΑΥΓΙΑΝΟΥΔΑΚΗΣ</t>
  </si>
  <si>
    <t>ΛΕΩΝΙΔΑΣ</t>
  </si>
  <si>
    <t>ΑΝ055677</t>
  </si>
  <si>
    <t>938,3</t>
  </si>
  <si>
    <t>1108,3</t>
  </si>
  <si>
    <t>ΒΑΣΙΛΕΙΑΔΟΥ</t>
  </si>
  <si>
    <t>ΑΚ598803</t>
  </si>
  <si>
    <t>ΜΑΧΑΙΡΑΣ</t>
  </si>
  <si>
    <t>ΑΑ433177</t>
  </si>
  <si>
    <t>ΠΑΠΑΔΑΚΗ</t>
  </si>
  <si>
    <t>ΑΖ961852</t>
  </si>
  <si>
    <t>Φακου</t>
  </si>
  <si>
    <t xml:space="preserve">Ελένη Κωνσταντίνα </t>
  </si>
  <si>
    <t>Γεωργιος</t>
  </si>
  <si>
    <t>ΑΚ213813</t>
  </si>
  <si>
    <t>965,8</t>
  </si>
  <si>
    <t>1105,8</t>
  </si>
  <si>
    <t>ΛΙΟΠΙΑΡΗ</t>
  </si>
  <si>
    <t>ΑΜ502695</t>
  </si>
  <si>
    <t>544,5</t>
  </si>
  <si>
    <t>1104,5</t>
  </si>
  <si>
    <t>ΣΦΥΡΗΣ</t>
  </si>
  <si>
    <t>Σ986481</t>
  </si>
  <si>
    <t>1103,5</t>
  </si>
  <si>
    <t>ΣΤΑΜΑΤΕΛΑΤΟΣ</t>
  </si>
  <si>
    <t>ΑΒ002217</t>
  </si>
  <si>
    <t>1102,5</t>
  </si>
  <si>
    <t>ΣΥΡΙΟΣ</t>
  </si>
  <si>
    <t>ΑΕ025166</t>
  </si>
  <si>
    <t>1100,5</t>
  </si>
  <si>
    <t xml:space="preserve">ΝΙΚΟΣ </t>
  </si>
  <si>
    <t>ΑΑ 097050</t>
  </si>
  <si>
    <t>ΜΠΟΥΛΑΜΑΤΣΗ</t>
  </si>
  <si>
    <t>ΑΧΙΛΛΕΥΣ</t>
  </si>
  <si>
    <t>Χ088666</t>
  </si>
  <si>
    <t>1098,5</t>
  </si>
  <si>
    <t>ΚΟΘΑΛΗ</t>
  </si>
  <si>
    <t>ΑΑ093235</t>
  </si>
  <si>
    <t>ΚΛΟΚΙΔΟΥ</t>
  </si>
  <si>
    <t>ΑΚ706384</t>
  </si>
  <si>
    <t>ΠΕΤΡΟΓΙΑΝΝΗ</t>
  </si>
  <si>
    <t>ΤΡΙΑΝΤΑΦΥΛΛΙΑ</t>
  </si>
  <si>
    <t>ΑΜ124967</t>
  </si>
  <si>
    <t>ΖΕΡΝΙΩΤΗ</t>
  </si>
  <si>
    <t>Χ295710</t>
  </si>
  <si>
    <t>739,2</t>
  </si>
  <si>
    <t>1096,2</t>
  </si>
  <si>
    <t>ΑΙ135931</t>
  </si>
  <si>
    <t>1095,5</t>
  </si>
  <si>
    <t>Χ147588</t>
  </si>
  <si>
    <t>ΚΟΛΟΚΟΤΡΩΝΗ</t>
  </si>
  <si>
    <t>Φ304252</t>
  </si>
  <si>
    <t>ΚΑΙΑΦΑ</t>
  </si>
  <si>
    <t>ΑΜ310649</t>
  </si>
  <si>
    <t>1093,5</t>
  </si>
  <si>
    <t>ΠΡΟΥΝΤΖΟΥ</t>
  </si>
  <si>
    <t>Φ204845</t>
  </si>
  <si>
    <t>ΠΑΝΤΕΡΜΟΣ</t>
  </si>
  <si>
    <t>ΑΑ031589</t>
  </si>
  <si>
    <t>ΑΗ234910</t>
  </si>
  <si>
    <t>1091,5</t>
  </si>
  <si>
    <t>ΛΕΒΕΝΤΑΚΗ</t>
  </si>
  <si>
    <t>ΑΜ164951</t>
  </si>
  <si>
    <t>ΑΞΕΛΟΣ</t>
  </si>
  <si>
    <t>ΑΙ014575</t>
  </si>
  <si>
    <t>ΠΑΠΑΣΤΕΡΓΙΟΥ</t>
  </si>
  <si>
    <t>ΖΗΣΗΣ</t>
  </si>
  <si>
    <t>ΑΙ545574</t>
  </si>
  <si>
    <t>1089,5</t>
  </si>
  <si>
    <t>ΜΙΧΑΛΟΠΟΥΛΟΥ</t>
  </si>
  <si>
    <t>ΑΖ204424</t>
  </si>
  <si>
    <t>ΤΡΙΑΝΤΑΦΥΛΛΟΥ</t>
  </si>
  <si>
    <t>ΑΒ856772</t>
  </si>
  <si>
    <t>1087,5</t>
  </si>
  <si>
    <t>ΚΥΡΙΤΣΗ</t>
  </si>
  <si>
    <t>ΡΑΔΑΙΟΥ</t>
  </si>
  <si>
    <t>ΑΚ059742</t>
  </si>
  <si>
    <t>1085,5</t>
  </si>
  <si>
    <t>Μαξούτη</t>
  </si>
  <si>
    <t>Βασιλική</t>
  </si>
  <si>
    <t>ΑΗ008406</t>
  </si>
  <si>
    <t>ΠΟΥΡΝΑΡΑ</t>
  </si>
  <si>
    <t>Τ313299</t>
  </si>
  <si>
    <t>1083,5</t>
  </si>
  <si>
    <t>ΠΡΑΤΑΡΗΣ</t>
  </si>
  <si>
    <t>ΑΕ147334</t>
  </si>
  <si>
    <t>969,1</t>
  </si>
  <si>
    <t>1083,1</t>
  </si>
  <si>
    <t>ΠΑΡΑΓΥΙΟΥ</t>
  </si>
  <si>
    <t>ΑΕ434770</t>
  </si>
  <si>
    <t>ΕΞΑΡΧΟΣ</t>
  </si>
  <si>
    <t>ΑΕ566603</t>
  </si>
  <si>
    <t>733,7</t>
  </si>
  <si>
    <t>1081,7</t>
  </si>
  <si>
    <t>ΣΤΡΑΒΟΚΕΦΑΛΟΥ</t>
  </si>
  <si>
    <t>ΕΥΣΤΑΘΙΑ</t>
  </si>
  <si>
    <t>ΒΛΑΣΗΣ</t>
  </si>
  <si>
    <t>Χ698106</t>
  </si>
  <si>
    <t>ΠΕΡΛΕΠΕΣ</t>
  </si>
  <si>
    <t>ΑΗ555313</t>
  </si>
  <si>
    <t>ΤΖΑΝΑΚΑΣ</t>
  </si>
  <si>
    <t>Χ906307</t>
  </si>
  <si>
    <t>1079,5</t>
  </si>
  <si>
    <t>ΔΟΞΑΡΑ</t>
  </si>
  <si>
    <t>ΑΖ588067</t>
  </si>
  <si>
    <t>ΑΗ766005</t>
  </si>
  <si>
    <t>1076,5</t>
  </si>
  <si>
    <t>ΠΑΝΕΘΥΜΙΤΑΚΗΣ</t>
  </si>
  <si>
    <t>ΛΥΣΑΝΔΡΟΣ</t>
  </si>
  <si>
    <t>ΑΚ627851</t>
  </si>
  <si>
    <t>ΣΟΥΛΟΥΤΑΣ</t>
  </si>
  <si>
    <t>ΑΖ536150</t>
  </si>
  <si>
    <t>ΜΑΜΑΣΟΥΛΑΣ</t>
  </si>
  <si>
    <t>Χ147839</t>
  </si>
  <si>
    <t>ΑΘΑΝΑΣΙΑ</t>
  </si>
  <si>
    <t>Χ429507</t>
  </si>
  <si>
    <t>ΠΑΠΑΓΙΑΝΝΟΠΟΥΛΟΣ</t>
  </si>
  <si>
    <t>Σ800294</t>
  </si>
  <si>
    <t>ΚΟΥΡΙΑ</t>
  </si>
  <si>
    <t>ΑΖ055483</t>
  </si>
  <si>
    <t>ΚΑΡΥΟΦΥΛΛΗΣ</t>
  </si>
  <si>
    <t>ΑΙ803292</t>
  </si>
  <si>
    <t>1071,5</t>
  </si>
  <si>
    <t>ΚΡΗΤΙΚΟΣ</t>
  </si>
  <si>
    <t>ΑΗ127440</t>
  </si>
  <si>
    <t>1070,5</t>
  </si>
  <si>
    <t>ΜΟΥΡΤΖΟΥ</t>
  </si>
  <si>
    <t>ΑΖ049439</t>
  </si>
  <si>
    <t>ΛΙΑΚΟΠΟΥΛΟΥ</t>
  </si>
  <si>
    <t>Χ142058</t>
  </si>
  <si>
    <t>ΚΑΡΑΜΗΝΑ</t>
  </si>
  <si>
    <t>Φ125989</t>
  </si>
  <si>
    <t>ΣΙΜΟΥ</t>
  </si>
  <si>
    <t>ΕΡΑΣΜΙΑ</t>
  </si>
  <si>
    <t>Χ710499</t>
  </si>
  <si>
    <t>862,4</t>
  </si>
  <si>
    <t>1067,4</t>
  </si>
  <si>
    <t>ΣΟΛΩΜΟΥ</t>
  </si>
  <si>
    <t>ΔΗΜΗΤΡΑ ΑΝΑΣΤΑΣΙΑ</t>
  </si>
  <si>
    <t>ΑΙ194852</t>
  </si>
  <si>
    <t>ΠΟΛΙΤΗ</t>
  </si>
  <si>
    <t>ΑΑ975657</t>
  </si>
  <si>
    <t>1065,5</t>
  </si>
  <si>
    <t>ΣΙΟΡΟΚΟΥ</t>
  </si>
  <si>
    <t>Χ663212</t>
  </si>
  <si>
    <t>ΜΑΔΕΝΤΖΟΓΛΟΥ</t>
  </si>
  <si>
    <t>Σ701992</t>
  </si>
  <si>
    <t>1063,5</t>
  </si>
  <si>
    <t>ΒΟΥΤΣΙΝΑ</t>
  </si>
  <si>
    <t>Σ027112</t>
  </si>
  <si>
    <t>1062,6</t>
  </si>
  <si>
    <t>ΜΩΚΙΟΥ</t>
  </si>
  <si>
    <t>ΑΕ849593</t>
  </si>
  <si>
    <t>ΛΕΛΛΗ</t>
  </si>
  <si>
    <t>ΓΕΩΡΓΟΥΛΗΣ</t>
  </si>
  <si>
    <t>ΑΖ785148</t>
  </si>
  <si>
    <t>ΚΟΥΜΟΥΤΣΑΚΟΥ</t>
  </si>
  <si>
    <t>ΑΝΘΟΥΛΑ</t>
  </si>
  <si>
    <t>ΑΝ103331</t>
  </si>
  <si>
    <t>ΛΙΜΝΙΑΛΗΣ</t>
  </si>
  <si>
    <t>Σ578955</t>
  </si>
  <si>
    <t>ΠΑΠΑΓΙΑΝΝΗΣ</t>
  </si>
  <si>
    <t>ΑΝ146853</t>
  </si>
  <si>
    <t>883,3</t>
  </si>
  <si>
    <t>1059,3</t>
  </si>
  <si>
    <t>ΒΩΒΟΣ</t>
  </si>
  <si>
    <t>ΑΚ156829</t>
  </si>
  <si>
    <t>1058,5</t>
  </si>
  <si>
    <t>ΤΟΠΑΛΗΣ</t>
  </si>
  <si>
    <t>ΑΜ402181</t>
  </si>
  <si>
    <t>1057,5</t>
  </si>
  <si>
    <t>ΚΑΡΑΝΑΣΗ</t>
  </si>
  <si>
    <t>ΑΙ216408</t>
  </si>
  <si>
    <t>ΔΟΥΡΟΥ</t>
  </si>
  <si>
    <t>Χ898914</t>
  </si>
  <si>
    <t>853,6</t>
  </si>
  <si>
    <t>1051,6</t>
  </si>
  <si>
    <t>ΣΩΤΗΡΟΠΟΥΛΟΥ</t>
  </si>
  <si>
    <t>Χ789098</t>
  </si>
  <si>
    <t>1051,5</t>
  </si>
  <si>
    <t>ΒΑΡΚΑΡΗΣ</t>
  </si>
  <si>
    <t>ΑΒ95533</t>
  </si>
  <si>
    <t>ΦΑΣΟΥΛΗ</t>
  </si>
  <si>
    <t>ΑΚ560842</t>
  </si>
  <si>
    <t>1049,7</t>
  </si>
  <si>
    <t>ΔΑΛΛΑ</t>
  </si>
  <si>
    <t>Χ072816</t>
  </si>
  <si>
    <t>ΤΣΙΟΥΦΗ</t>
  </si>
  <si>
    <t>ΑΖ 522700</t>
  </si>
  <si>
    <t>ΣΑΜΠΑΝΗ</t>
  </si>
  <si>
    <t>ΣΥΛΒΑΝΑ</t>
  </si>
  <si>
    <t>ΜΙΧΑΛ</t>
  </si>
  <si>
    <t>ΑΜ633667</t>
  </si>
  <si>
    <t>ΠΕΤΡΙΔΟΥ</t>
  </si>
  <si>
    <t>ΑΓΑΠΗ</t>
  </si>
  <si>
    <t>ΑΜ669261</t>
  </si>
  <si>
    <t>1048,5</t>
  </si>
  <si>
    <t>ΣΑΜΩΛΗΣ</t>
  </si>
  <si>
    <t>ΙΑΚΩΒΟΣ-ΚΩΝΣΤΑΝΤΙΝΟΣ</t>
  </si>
  <si>
    <t>ΑΚ066566</t>
  </si>
  <si>
    <t>643,5</t>
  </si>
  <si>
    <t>1047,5</t>
  </si>
  <si>
    <t>ΣΑΛΑΜΑΛΙΚΗ</t>
  </si>
  <si>
    <t>Χ302320</t>
  </si>
  <si>
    <t>ΚΥΡΙΑΚΟΠΟΥΛΟΥ</t>
  </si>
  <si>
    <t>ΑΙ693712</t>
  </si>
  <si>
    <t>ΡΟΥΣΗ</t>
  </si>
  <si>
    <t>ΜΑΡΙΑΝΘΗ</t>
  </si>
  <si>
    <t>ΑΕ028671</t>
  </si>
  <si>
    <t>1044,5</t>
  </si>
  <si>
    <t>ΛΑΜΠΡΟΠΟΥΛΟΥ</t>
  </si>
  <si>
    <t>ΑΙ563702</t>
  </si>
  <si>
    <t>1042,5</t>
  </si>
  <si>
    <t>ΛΙΟΥΔΑΚΗΣ</t>
  </si>
  <si>
    <t>Τ454966</t>
  </si>
  <si>
    <t>ΣΩΤΗΡΙΟΥ</t>
  </si>
  <si>
    <t>Φ113808</t>
  </si>
  <si>
    <t>ΧΟΥΛΙΤΟΥΔΗ</t>
  </si>
  <si>
    <t>ΑΜ073699</t>
  </si>
  <si>
    <t>ΠΑΝΤΕΛΑΚΟΥ</t>
  </si>
  <si>
    <t>ΑΖ064474</t>
  </si>
  <si>
    <t>Χαντζάρας</t>
  </si>
  <si>
    <t>Αλέξανδρος</t>
  </si>
  <si>
    <t>Σπυρίδων</t>
  </si>
  <si>
    <t>ΑΙ 544239</t>
  </si>
  <si>
    <t>1035,5</t>
  </si>
  <si>
    <t>ΦΩΤΟΠΟΥΛΟΥ</t>
  </si>
  <si>
    <t>ΔΗΜΟΣ</t>
  </si>
  <si>
    <t>Χ536375</t>
  </si>
  <si>
    <t>ΠΑΣΒΑΝΤΗ</t>
  </si>
  <si>
    <t>ΑΡΙΑΔΝΗ</t>
  </si>
  <si>
    <t>ΑΖ162034</t>
  </si>
  <si>
    <t>ΑΗ766004</t>
  </si>
  <si>
    <t>ΟΙΚΟΝΟΜΙΔΗΣ</t>
  </si>
  <si>
    <t>ΑΜ603239</t>
  </si>
  <si>
    <t>ΤΖΙΡΑΚΗΣ</t>
  </si>
  <si>
    <t>Φ029430</t>
  </si>
  <si>
    <t>ΠΑΝΤΖΑΡΤΖΗ</t>
  </si>
  <si>
    <t>ΑΗ633245</t>
  </si>
  <si>
    <t>ΤΖΩΡΑ</t>
  </si>
  <si>
    <t>Σ486866</t>
  </si>
  <si>
    <t>ΓΑΒΡΙΑΣ</t>
  </si>
  <si>
    <t>ΑΑ948509</t>
  </si>
  <si>
    <t>954,8</t>
  </si>
  <si>
    <t>1024,8</t>
  </si>
  <si>
    <t>ΜΑΡΟΥΣΑ</t>
  </si>
  <si>
    <t>Φ095078</t>
  </si>
  <si>
    <t>522,5</t>
  </si>
  <si>
    <t>1024,5</t>
  </si>
  <si>
    <t>ΚΟΚΚΑΣ</t>
  </si>
  <si>
    <t>Χ374918</t>
  </si>
  <si>
    <t>ΖΙΑΝΝΑ</t>
  </si>
  <si>
    <t>ΘΩΜΑΗ</t>
  </si>
  <si>
    <t>ΑΑ429172</t>
  </si>
  <si>
    <t xml:space="preserve">ΜΠΟΥΝΤΟΥ </t>
  </si>
  <si>
    <t xml:space="preserve">ΠΗΝΕΛΟΠΗ </t>
  </si>
  <si>
    <t>ΑΕ429307</t>
  </si>
  <si>
    <t>ΑΝΤΩΝΙΑΔΗ</t>
  </si>
  <si>
    <t>ΑΚ501830</t>
  </si>
  <si>
    <t>ΔΡΙΒΙΛΑΣ</t>
  </si>
  <si>
    <t>AΡΙΣΤΕΙΔΗΣ</t>
  </si>
  <si>
    <t>ΑΜ552163</t>
  </si>
  <si>
    <t>ΔΕΡΒΙΣΗΣ</t>
  </si>
  <si>
    <t>Χ815407</t>
  </si>
  <si>
    <t>ΚΑΡΑΝΤΩΝΗ</t>
  </si>
  <si>
    <t>ΔΗΜΗΤΡΑ ΧΑΡΑ</t>
  </si>
  <si>
    <t>ΑΕ867512</t>
  </si>
  <si>
    <t>1016,5</t>
  </si>
  <si>
    <t>ΓΥΠΑΡΑΚΗ</t>
  </si>
  <si>
    <t>ΑΕ159918</t>
  </si>
  <si>
    <t>ΦΙΛΙΠΠΟΥ</t>
  </si>
  <si>
    <t>Χ185447</t>
  </si>
  <si>
    <t>1014,5</t>
  </si>
  <si>
    <t>ΒΑΣΙΛΑΚΑΚΗΣ</t>
  </si>
  <si>
    <t>ΣΤΑΜΑΤΙΟΣ</t>
  </si>
  <si>
    <t>ΕΜΜΑΝΟΥHΛ</t>
  </si>
  <si>
    <t>ΑΗ582091</t>
  </si>
  <si>
    <t>Τ018953</t>
  </si>
  <si>
    <t>1012,5</t>
  </si>
  <si>
    <t>Τ131056</t>
  </si>
  <si>
    <t>1009,5</t>
  </si>
  <si>
    <t>Χ458465</t>
  </si>
  <si>
    <t>ΤΕΡΖΗ</t>
  </si>
  <si>
    <t>ΑΗ722492</t>
  </si>
  <si>
    <t>ΘΕΟΔΩΡΟΥ</t>
  </si>
  <si>
    <t>Χ715718</t>
  </si>
  <si>
    <t>1009,4</t>
  </si>
  <si>
    <t>ΚΩΣΤΟΓΛΟΥ</t>
  </si>
  <si>
    <t>Χ844275</t>
  </si>
  <si>
    <t>ΣΑΚΑΡΙΚΑ</t>
  </si>
  <si>
    <t>ΑΚ521767</t>
  </si>
  <si>
    <t>829,4</t>
  </si>
  <si>
    <t>ΤΟΣΙΟΣ</t>
  </si>
  <si>
    <t>ΑΚ824994</t>
  </si>
  <si>
    <t>ΠΟΥΛΗΜΕΝΟΣ</t>
  </si>
  <si>
    <t>ΔΗΜΗΤΡΙΟΣ-ΓΕΩΡΓΙΟΣ</t>
  </si>
  <si>
    <t>Σ641244</t>
  </si>
  <si>
    <t>1008,5</t>
  </si>
  <si>
    <t>ΣΙΓΑΝΑΚΗ</t>
  </si>
  <si>
    <t>Σ546928</t>
  </si>
  <si>
    <t>ΚΥΘΡΑΙΩΤΗ</t>
  </si>
  <si>
    <t>ΑΚ660172</t>
  </si>
  <si>
    <t>ΑΖ701173</t>
  </si>
  <si>
    <t>ΚΑΡΥΔΑΣ</t>
  </si>
  <si>
    <t>ΑΡΗΣ</t>
  </si>
  <si>
    <t>ΑΒ748085</t>
  </si>
  <si>
    <t>1003,5</t>
  </si>
  <si>
    <t>ΓΚΟΡΙΤΣΑΣ</t>
  </si>
  <si>
    <t>Χ792995</t>
  </si>
  <si>
    <t>ΖΑΡΟΜΑΝΤΑΛΟΥ</t>
  </si>
  <si>
    <t>Χ114391</t>
  </si>
  <si>
    <t>ΒΑΣΙΛΟΥΔΗ</t>
  </si>
  <si>
    <t>Χ280831</t>
  </si>
  <si>
    <t>1001,5</t>
  </si>
  <si>
    <t>ΣΑΡΟΥΚΟΣ</t>
  </si>
  <si>
    <t>ΣΑΚΕΛΛΑΡΙΟΣ</t>
  </si>
  <si>
    <t>ΑΗ447790</t>
  </si>
  <si>
    <t>ΧΡΙΣΤΟΓΙΑΝΝΟΠΟΥΛΟΥ</t>
  </si>
  <si>
    <t>ΑΚ064119</t>
  </si>
  <si>
    <t>1000,5</t>
  </si>
  <si>
    <t>ΠΑΥΛΟΥ</t>
  </si>
  <si>
    <t>ΒΛΑΣΙΟΣ</t>
  </si>
  <si>
    <t>ΑΝ107865</t>
  </si>
  <si>
    <t>ΦΛΩΡΟΥ</t>
  </si>
  <si>
    <t>Φ286034</t>
  </si>
  <si>
    <t>999,5</t>
  </si>
  <si>
    <t>ΚΟΥΚΟΥΜΗ</t>
  </si>
  <si>
    <t>ΣΑΡΑΝΤΟΣ</t>
  </si>
  <si>
    <t>Τ416336</t>
  </si>
  <si>
    <t>ΚΑΤΣΑΛΗΡΟΣ</t>
  </si>
  <si>
    <t>ΑΕ585374</t>
  </si>
  <si>
    <t>ΚΩΝΣΤΑΝΤΙΝΙΔΗ</t>
  </si>
  <si>
    <t>ΣΟΦΟΚΛΗΣ</t>
  </si>
  <si>
    <t>ΑΒ067825</t>
  </si>
  <si>
    <t>997,5</t>
  </si>
  <si>
    <t>ΣΤΑΜΑΤΑ</t>
  </si>
  <si>
    <t>ΑΒ282619</t>
  </si>
  <si>
    <t>996,5</t>
  </si>
  <si>
    <t>ΓΡΥΛΑΚΗ</t>
  </si>
  <si>
    <t>ΑΝ074175</t>
  </si>
  <si>
    <t>ΣΠΙΛΑΝΗ</t>
  </si>
  <si>
    <t>ΑΕ931851</t>
  </si>
  <si>
    <t>ΓΙΑΝΝΟΥΤΣΟΥ</t>
  </si>
  <si>
    <t>ΑΑ316712</t>
  </si>
  <si>
    <t>ΠΑΠΑΙΣΙΔΩΡΟΥ</t>
  </si>
  <si>
    <t>ΙΣΙΔΩΡΟΣ</t>
  </si>
  <si>
    <t>ΑΜ180774</t>
  </si>
  <si>
    <t>992,5</t>
  </si>
  <si>
    <t>ΠΛΙΟΣΚΑΣ</t>
  </si>
  <si>
    <t>ΑΚ267136</t>
  </si>
  <si>
    <t>988,5</t>
  </si>
  <si>
    <t>ΣΤΟΙΚΟΥ</t>
  </si>
  <si>
    <t>ΑΝ087878</t>
  </si>
  <si>
    <t>ΟΡΦΑΝΙΔΟΥ</t>
  </si>
  <si>
    <t>Χ088050</t>
  </si>
  <si>
    <t>Χ580002</t>
  </si>
  <si>
    <t>ΖΙΑΚΑ</t>
  </si>
  <si>
    <t>ΑΒ191256</t>
  </si>
  <si>
    <t>988,3</t>
  </si>
  <si>
    <t>ΚΟΥΛΕΝΤΗΣ</t>
  </si>
  <si>
    <t>Χ404701</t>
  </si>
  <si>
    <t>ΤΕΡΖΟΠΟΥΛΟΥ</t>
  </si>
  <si>
    <t>Χ540799</t>
  </si>
  <si>
    <t>985,5</t>
  </si>
  <si>
    <t>ΚΟΥΡΙΔΑΚΗ</t>
  </si>
  <si>
    <t>Χ993753</t>
  </si>
  <si>
    <t>805,2</t>
  </si>
  <si>
    <t>985,2</t>
  </si>
  <si>
    <t>ΤΣΙΑΦΟΥΤΗ</t>
  </si>
  <si>
    <t>Χ206915</t>
  </si>
  <si>
    <t>894,3</t>
  </si>
  <si>
    <t>980,3</t>
  </si>
  <si>
    <t>ΚΑΛΠΑΚΟΥ</t>
  </si>
  <si>
    <t>ΧΑΡΑΛΑΜΠΙΑ</t>
  </si>
  <si>
    <t>ΑΜ640854</t>
  </si>
  <si>
    <t>ΤΣΕΛΕΠΗ</t>
  </si>
  <si>
    <t>ΑΝΔΡΙΑΝΗ ΣΟΦΙΑ</t>
  </si>
  <si>
    <t>ΑΚ878604</t>
  </si>
  <si>
    <t>Χ842277</t>
  </si>
  <si>
    <t>909,7</t>
  </si>
  <si>
    <t>979,7</t>
  </si>
  <si>
    <t>ΔΗΜΟΠΟΥΛΟΥ</t>
  </si>
  <si>
    <t>ΑΕ234209</t>
  </si>
  <si>
    <t>ΜΠΑΛΤΑ</t>
  </si>
  <si>
    <t xml:space="preserve">ΕΛΕΝΗ </t>
  </si>
  <si>
    <t>Τ307097</t>
  </si>
  <si>
    <t>ΚΙΚΙΝΑ</t>
  </si>
  <si>
    <t>ΑΗ521147</t>
  </si>
  <si>
    <t>ΑΝ093859</t>
  </si>
  <si>
    <t>ΠΑΠΑΒΑΣΙΛΟΠΟΥΛΟΣ</t>
  </si>
  <si>
    <t>ΧΡΥΣΟΣΤΟΜΟΣ</t>
  </si>
  <si>
    <t>ΑΜ577145</t>
  </si>
  <si>
    <t>ΖΑΧΑΡΟΠΛΑΣΤΗΣ</t>
  </si>
  <si>
    <t>ΑΙ173781</t>
  </si>
  <si>
    <t>Χ023783</t>
  </si>
  <si>
    <t>ΧΑΤΖΗΠΕΤΡΟΥ</t>
  </si>
  <si>
    <t>Χ688204</t>
  </si>
  <si>
    <t xml:space="preserve">ΔΙΑΜΑΝΤΗΣ </t>
  </si>
  <si>
    <t xml:space="preserve">ΑΘΑΝΑΣΙΟΣ </t>
  </si>
  <si>
    <t xml:space="preserve">ΚΩΝΣΤΑΝΤΙΝΟΣ </t>
  </si>
  <si>
    <t>Χ982893</t>
  </si>
  <si>
    <t>967,5</t>
  </si>
  <si>
    <t>ΠΡΟΜΠΟΝΑ</t>
  </si>
  <si>
    <t>Χ902464</t>
  </si>
  <si>
    <t>Ψαρρού</t>
  </si>
  <si>
    <t>Μαρία</t>
  </si>
  <si>
    <t>ΑΗ072234</t>
  </si>
  <si>
    <t>ΜΠΟΥΡΧΑ</t>
  </si>
  <si>
    <t>Χ484948</t>
  </si>
  <si>
    <t>964,5</t>
  </si>
  <si>
    <t>ΝΙΚΟΛΑΟΥ</t>
  </si>
  <si>
    <t>ΑΝΝΑ ΛΑΜΠΡΙΝΗ</t>
  </si>
  <si>
    <t>Χ863627</t>
  </si>
  <si>
    <t>779,9</t>
  </si>
  <si>
    <t>963,9</t>
  </si>
  <si>
    <t>ΑΙ752618</t>
  </si>
  <si>
    <t>ΚΟΥΚΟΥ</t>
  </si>
  <si>
    <t>ΑΙ204117</t>
  </si>
  <si>
    <t>654,5</t>
  </si>
  <si>
    <t>960,5</t>
  </si>
  <si>
    <t>ΓΑΡΑΖΑΝΑΚΗ</t>
  </si>
  <si>
    <t>ΑΒ102545</t>
  </si>
  <si>
    <t>ΜΑΣΤΡΑΝΔΡΕΟΥ</t>
  </si>
  <si>
    <t>ΑΖ875181</t>
  </si>
  <si>
    <t>959,5</t>
  </si>
  <si>
    <t>ΠΛΑΤΑΝΙΤΗ</t>
  </si>
  <si>
    <t>ΑΕ115511</t>
  </si>
  <si>
    <t>ΡΑΒΑΝΗ</t>
  </si>
  <si>
    <t>ΑΕ526652</t>
  </si>
  <si>
    <t>ΜΩΡΑΙΤΗΣ</t>
  </si>
  <si>
    <t>ΑΙ310582</t>
  </si>
  <si>
    <t>955,5</t>
  </si>
  <si>
    <t>ΚΟΥΝΤΟΥΤΣΚΑ</t>
  </si>
  <si>
    <t>Χ772620</t>
  </si>
  <si>
    <t>884,4</t>
  </si>
  <si>
    <t>954,4</t>
  </si>
  <si>
    <t>ΚΑΣΤΡΙΝΟΥ</t>
  </si>
  <si>
    <t>ΝΙΚΟΛΙΑ</t>
  </si>
  <si>
    <t>Χ093629</t>
  </si>
  <si>
    <t>ΖΟΥΡΙΔΑΚΗ</t>
  </si>
  <si>
    <t>ΑΒ189289</t>
  </si>
  <si>
    <t>ΜΠΟΓΔΑΝΟΣ</t>
  </si>
  <si>
    <t>ΑΚ909914</t>
  </si>
  <si>
    <t>ΔΕΣΛΗ</t>
  </si>
  <si>
    <t>Χ414340</t>
  </si>
  <si>
    <t>949,5</t>
  </si>
  <si>
    <t>ΒΕΛΟΝΑΚΗΣ</t>
  </si>
  <si>
    <t>Σ188644</t>
  </si>
  <si>
    <t>ΜΑΛΛΙΔΗΣ</t>
  </si>
  <si>
    <t>ΙΩΑΚΕΙΜ</t>
  </si>
  <si>
    <t>ΑΕ079856</t>
  </si>
  <si>
    <t>ΔΗΜΗΤΡΑΚΗΣ</t>
  </si>
  <si>
    <t>Χ112126</t>
  </si>
  <si>
    <t>941,5</t>
  </si>
  <si>
    <t>ΚΑΡΑΓΙΑΝΝΙΔΗΣ</t>
  </si>
  <si>
    <t>ΧΡΗΣΤΟΣ ΓΕΩΡΓΙΟΣ</t>
  </si>
  <si>
    <t>ΑΜ912684</t>
  </si>
  <si>
    <t>ΑΒ770702</t>
  </si>
  <si>
    <t>938,5</t>
  </si>
  <si>
    <t>ΠΑΠΑΔΟΜΑΝΩΛΑΚΗΣ</t>
  </si>
  <si>
    <t>ΑΙ115987</t>
  </si>
  <si>
    <t>ΜΕΛΕΤΙΟΥ</t>
  </si>
  <si>
    <t>ΑΚ622417</t>
  </si>
  <si>
    <t>937,5</t>
  </si>
  <si>
    <t>ΔΑΒΛΙΑΚΟΥ</t>
  </si>
  <si>
    <t>ΠΑΡΑΣΧΟΣ</t>
  </si>
  <si>
    <t>ΑΑ439175</t>
  </si>
  <si>
    <t>ΑΝΑΓΝΩΣΤΟΠΟΥΛΟΣ</t>
  </si>
  <si>
    <t>ΑΒ587449</t>
  </si>
  <si>
    <t>935,5</t>
  </si>
  <si>
    <t>ΚΟΠΑΛΙΔΗ</t>
  </si>
  <si>
    <t>ΑΚ008276</t>
  </si>
  <si>
    <t>ΑΗ273846</t>
  </si>
  <si>
    <t>ΒΑΣΙΛΑΡΑΣ</t>
  </si>
  <si>
    <t>Χ366298</t>
  </si>
  <si>
    <t>934,5</t>
  </si>
  <si>
    <t xml:space="preserve">Φραγκιουδακη </t>
  </si>
  <si>
    <t xml:space="preserve">Νόρμα Ζωή </t>
  </si>
  <si>
    <t xml:space="preserve">Ιωάννης </t>
  </si>
  <si>
    <t>ΑΖ970033</t>
  </si>
  <si>
    <t>933,5</t>
  </si>
  <si>
    <t>σαρρή</t>
  </si>
  <si>
    <t>μαρία-μαγδαληνή</t>
  </si>
  <si>
    <t>ΑΚ593075</t>
  </si>
  <si>
    <t>ΛΑΖΑΡΙΔΗΣ</t>
  </si>
  <si>
    <t>ΑΑ285064</t>
  </si>
  <si>
    <t>ΔΗΜΗΤΡΟΥΛΗ</t>
  </si>
  <si>
    <t>Χ778578</t>
  </si>
  <si>
    <t>ΚΟΖΟΜΠΟΛΗΣ</t>
  </si>
  <si>
    <t>ΑΕ265866</t>
  </si>
  <si>
    <t>ΑΕ752982</t>
  </si>
  <si>
    <t>ΤΣΑΒΛΗΣ</t>
  </si>
  <si>
    <t>ΑΚ012775</t>
  </si>
  <si>
    <t>ΝΕΖΟΥ</t>
  </si>
  <si>
    <t>Χ528350</t>
  </si>
  <si>
    <t>928,5</t>
  </si>
  <si>
    <t xml:space="preserve">ΓΕΩΡΓΑΚΗ </t>
  </si>
  <si>
    <t xml:space="preserve">ΜΑΡΙΑ </t>
  </si>
  <si>
    <t xml:space="preserve">ΑΡΙΣΤΕΙΔΗΣ </t>
  </si>
  <si>
    <t>ΑΖ429721</t>
  </si>
  <si>
    <t>ΝΟΥΛΙΑ</t>
  </si>
  <si>
    <t>ΜΑΤΙΝΑ</t>
  </si>
  <si>
    <t>ΑΑ410040</t>
  </si>
  <si>
    <t>ΚΑΛΑΜΠΟΥΚΑΣ</t>
  </si>
  <si>
    <t>ΑΑ410534</t>
  </si>
  <si>
    <t>926,5</t>
  </si>
  <si>
    <t>ΣΚΑΡΟΥ</t>
  </si>
  <si>
    <t>ΜΑΡΙΑ ΤΣΑΜΠΙΚΑ</t>
  </si>
  <si>
    <t>ΑΒ946496</t>
  </si>
  <si>
    <t>ΔΗΜΗΤΡΟΠΟΥΛΟΣ</t>
  </si>
  <si>
    <t>ΑΒ199488</t>
  </si>
  <si>
    <t>ΧΟΥΝΤΗΣ</t>
  </si>
  <si>
    <t>ΑΖ723160</t>
  </si>
  <si>
    <t>923,5</t>
  </si>
  <si>
    <t>ΓΚΕΣΟΥΛΗ</t>
  </si>
  <si>
    <t>ΑΡΤΕΜΙΣ</t>
  </si>
  <si>
    <t>ΑΑ378705</t>
  </si>
  <si>
    <t>ΠΑΤΣΑΤΖΗ</t>
  </si>
  <si>
    <t>ΡΟΔΟΥΛΑ</t>
  </si>
  <si>
    <t>ΑΕ878261</t>
  </si>
  <si>
    <t>ΣΙΑΦΑΚΑΣ</t>
  </si>
  <si>
    <t>ΑΚ379434</t>
  </si>
  <si>
    <t>922,5</t>
  </si>
  <si>
    <t>ΤΣΙΟΥΓΚΟΥ</t>
  </si>
  <si>
    <t>ΝΑΝΤΙΑΛΕΝΑ</t>
  </si>
  <si>
    <t>Σ630004</t>
  </si>
  <si>
    <t>ΠΙΤΥΚΑΚΗΣ</t>
  </si>
  <si>
    <t>ΑΚ658852</t>
  </si>
  <si>
    <t>ΚΑΓΙΟΓΛΟΥ</t>
  </si>
  <si>
    <t>Χ549247</t>
  </si>
  <si>
    <t>889,9</t>
  </si>
  <si>
    <t>919,9</t>
  </si>
  <si>
    <t>ΤΟΥΛΑ</t>
  </si>
  <si>
    <t>ΑΙ414386</t>
  </si>
  <si>
    <t>ΚΑΝΑΒΙΤΣΑΣ</t>
  </si>
  <si>
    <t>ΑΗ763160</t>
  </si>
  <si>
    <t>917,5</t>
  </si>
  <si>
    <t>ΒΑΡΕΛΑ</t>
  </si>
  <si>
    <t>ΙΩΑΝΝΑ-ΒΕΡΑ</t>
  </si>
  <si>
    <t>Φ065663</t>
  </si>
  <si>
    <t>ΡΟΥΜΠΑΤΗΣ</t>
  </si>
  <si>
    <t>ΑΙ607131</t>
  </si>
  <si>
    <t>ΚΙΤΣΑΚΗ</t>
  </si>
  <si>
    <t>ΣΤΥΛΙΑΝΗ ΑΙΚΑΤΕΡΙΝΗ</t>
  </si>
  <si>
    <t>ΑΗ723209</t>
  </si>
  <si>
    <t>ΔΗΜΗΤΡΑΚΟΠΟΥΛΟΥ</t>
  </si>
  <si>
    <t>ΚΑΝΕΛΛΑ</t>
  </si>
  <si>
    <t>ΑΗ573229</t>
  </si>
  <si>
    <t>914,5</t>
  </si>
  <si>
    <t>ΚΟΛΥΔΑ</t>
  </si>
  <si>
    <t>ΑΝΝΑ - ΜΑΡΙΑ</t>
  </si>
  <si>
    <t>ΑΝΤΩΝΗΣ</t>
  </si>
  <si>
    <t>ΑΗ756934</t>
  </si>
  <si>
    <t>ΓΑΡΟΥΦΟΥ</t>
  </si>
  <si>
    <t>ΑΚ659066</t>
  </si>
  <si>
    <t>ΠΑΝΑΓΙΩΤΑΡΟΥ</t>
  </si>
  <si>
    <t>Χ076669</t>
  </si>
  <si>
    <t>ΣΙΟΥΛΑ</t>
  </si>
  <si>
    <t>ΑΒ451794</t>
  </si>
  <si>
    <t>913,5</t>
  </si>
  <si>
    <t>ΠΟΥΣΟΥΛΙΔΗΣ</t>
  </si>
  <si>
    <t>ΑΚ874271</t>
  </si>
  <si>
    <t>ΜΠΕΛΙΑ</t>
  </si>
  <si>
    <t>ΖΑΧΑΡΟΥΛΑ</t>
  </si>
  <si>
    <t>Φ146450</t>
  </si>
  <si>
    <t>ΚΟΡΔΑΣ</t>
  </si>
  <si>
    <t>Χ578100</t>
  </si>
  <si>
    <t>ΤΣΟΥΜΑΝΗ</t>
  </si>
  <si>
    <t>ΑΕ284551</t>
  </si>
  <si>
    <t>ΚΟΥΡΗ</t>
  </si>
  <si>
    <t>ΑΜ474854</t>
  </si>
  <si>
    <t>ΚΟΚΚΙΝΟΥ</t>
  </si>
  <si>
    <t>ΕΣΘΗΡ</t>
  </si>
  <si>
    <t>ΑΒ056807</t>
  </si>
  <si>
    <t>ΔΟΝΤΑΣ</t>
  </si>
  <si>
    <t>Χ986372</t>
  </si>
  <si>
    <t>610,5</t>
  </si>
  <si>
    <t>906,5</t>
  </si>
  <si>
    <t>ΣΚΟΥΡΑΣ</t>
  </si>
  <si>
    <t>ΑΑ025844</t>
  </si>
  <si>
    <t>ΜΟΥΤΟΥ</t>
  </si>
  <si>
    <t>Σ374934</t>
  </si>
  <si>
    <t>ΑΒΡΟΝΙΔΑΚΗ</t>
  </si>
  <si>
    <t>Χ660063</t>
  </si>
  <si>
    <t>904,5</t>
  </si>
  <si>
    <t>ΑΑ469180</t>
  </si>
  <si>
    <t>ΠΑΠΑΓΕΩΡΓΟΠΟΥΛΟΣ</t>
  </si>
  <si>
    <t>ΑΜ615470</t>
  </si>
  <si>
    <t>ΤΣΑΤΣΑΡΗ</t>
  </si>
  <si>
    <t>ΑΙ209958</t>
  </si>
  <si>
    <t>Φ340724</t>
  </si>
  <si>
    <t>893,5</t>
  </si>
  <si>
    <t>ΑΒ417589</t>
  </si>
  <si>
    <t>ΜΑΡΓΑΡΙΤΟΠΟΥΛΟΣ</t>
  </si>
  <si>
    <t>Χ187305</t>
  </si>
  <si>
    <t>617,1</t>
  </si>
  <si>
    <t>892,1</t>
  </si>
  <si>
    <t>ΜΙΧΑΗΛΙΔΟΥ</t>
  </si>
  <si>
    <t>ΑΒ214116</t>
  </si>
  <si>
    <t>ΙΩΣΗΦΙΔΗΣ</t>
  </si>
  <si>
    <t>ΙΑΣΟΝΑΣ</t>
  </si>
  <si>
    <t>ΑΑ067932</t>
  </si>
  <si>
    <t>ΤΑΜΠΑΚΗ</t>
  </si>
  <si>
    <t>Σ795240</t>
  </si>
  <si>
    <t>889,5</t>
  </si>
  <si>
    <t>ΦΡΑΓΚΑΚΗ</t>
  </si>
  <si>
    <t>ΑΙ951878</t>
  </si>
  <si>
    <t>ΜΑΛΕΣΑΓΚΟΣ</t>
  </si>
  <si>
    <t>ΑΙΜΙΛΙΟΣ</t>
  </si>
  <si>
    <t>ΑΗ802689</t>
  </si>
  <si>
    <t>ΡΟΥΣΣΗ</t>
  </si>
  <si>
    <t>Χ522413</t>
  </si>
  <si>
    <t>ΓΡΗΓΟΡΑΤΟΣ</t>
  </si>
  <si>
    <t>ΑΓΑΘΑΓΓΕΛΟΣ</t>
  </si>
  <si>
    <t>Χ692533</t>
  </si>
  <si>
    <t>ΠΑΓΩΝΗΣ</t>
  </si>
  <si>
    <t>ΑΚ518736</t>
  </si>
  <si>
    <t>ΣΤΡΑΦΙΩΤΗΣ</t>
  </si>
  <si>
    <t>ΑΚ547811</t>
  </si>
  <si>
    <t xml:space="preserve">ΔΗΜΗΤΡΙΟΣ </t>
  </si>
  <si>
    <t>ΑΝ 191871</t>
  </si>
  <si>
    <t>ΚΑΠΕΤΑΝΑΚΗ</t>
  </si>
  <si>
    <t>Χ548553</t>
  </si>
  <si>
    <t>ΣΚΑΡΟΣ</t>
  </si>
  <si>
    <t>ΑΕ648583</t>
  </si>
  <si>
    <t>804,1</t>
  </si>
  <si>
    <t>874,1</t>
  </si>
  <si>
    <t>ΣΙΔΗΡΑΣ</t>
  </si>
  <si>
    <t>ΑΜ753732</t>
  </si>
  <si>
    <t>ΜΠΟΖΑ</t>
  </si>
  <si>
    <t>ΑΕ192206</t>
  </si>
  <si>
    <t>566,5</t>
  </si>
  <si>
    <t>868,5</t>
  </si>
  <si>
    <t>ΚΟΝΤΟΥΛΗ</t>
  </si>
  <si>
    <t>ΑΒ233179</t>
  </si>
  <si>
    <t>ΧΡΟΝΟΠΟΥΛΟΥ</t>
  </si>
  <si>
    <t>ΑΑ315659</t>
  </si>
  <si>
    <t>ΚΕΡΑΜΑΣ</t>
  </si>
  <si>
    <t>ΑΒ018768</t>
  </si>
  <si>
    <t>ΑΒ279780</t>
  </si>
  <si>
    <t>Κοσμίδη</t>
  </si>
  <si>
    <t xml:space="preserve">Σοφία </t>
  </si>
  <si>
    <t>ΑΙ519881</t>
  </si>
  <si>
    <t>ΥΦΑΝΤΗΣ</t>
  </si>
  <si>
    <t>ΑΚ141872</t>
  </si>
  <si>
    <t>ΜΑΣΟΥΡΗΣ</t>
  </si>
  <si>
    <t>ΑΙ606811</t>
  </si>
  <si>
    <t>856,5</t>
  </si>
  <si>
    <t>ΚΟΡΔΩΝΗΣ</t>
  </si>
  <si>
    <t>ΑΗ710107</t>
  </si>
  <si>
    <t>ΑΦΟΡΔΑΚΟΥ</t>
  </si>
  <si>
    <t>ΑΗ465839</t>
  </si>
  <si>
    <t>ΜΗΛΙΩΝΗ</t>
  </si>
  <si>
    <t>ΑΙ753230</t>
  </si>
  <si>
    <t>ΚΑΜΜΕΝΟΥ</t>
  </si>
  <si>
    <t>ΧΑΡΙΚΛΕΙΑ</t>
  </si>
  <si>
    <t>Φ461511</t>
  </si>
  <si>
    <t>732,6</t>
  </si>
  <si>
    <t>846,6</t>
  </si>
  <si>
    <t>ΜΠΕΖΕΡΓΙΑΝΟΣ</t>
  </si>
  <si>
    <t>ΣΠΗΛΙΟΣ</t>
  </si>
  <si>
    <t>ΑΙ009715</t>
  </si>
  <si>
    <t>ΖΑΚΑΚΗΣ</t>
  </si>
  <si>
    <t>ΑΗ536506</t>
  </si>
  <si>
    <t>ΑΡΧΟΝΤΟΥΛΗΣ</t>
  </si>
  <si>
    <t>Φ367005</t>
  </si>
  <si>
    <t>ΓΚΙΝΗ</t>
  </si>
  <si>
    <t>ΑΕ638113</t>
  </si>
  <si>
    <t>Χ875191</t>
  </si>
  <si>
    <t>838,5</t>
  </si>
  <si>
    <t>ΤΣΟΛΑΚΙΔΗΣ</t>
  </si>
  <si>
    <t>ΑΝ072577</t>
  </si>
  <si>
    <t>629,2</t>
  </si>
  <si>
    <t>827,2</t>
  </si>
  <si>
    <t>ΚΟΚΚΙΝΟΣ</t>
  </si>
  <si>
    <t>Χ075359</t>
  </si>
  <si>
    <t>ΠΑΠΑΣΤΑΘΟΠΟΥΛΟΣ</t>
  </si>
  <si>
    <t>ΑΑ978601</t>
  </si>
  <si>
    <t>588,5</t>
  </si>
  <si>
    <t>ΑΑ309264</t>
  </si>
  <si>
    <t>805,5</t>
  </si>
  <si>
    <t>ΜΙΧΑΗΛΙΔΗΣ</t>
  </si>
  <si>
    <t>ΑΒ430871</t>
  </si>
  <si>
    <t>802,5</t>
  </si>
  <si>
    <t>ΜΑΥΡΙΔΑΚΗΣ</t>
  </si>
  <si>
    <t>ΑΑ490355</t>
  </si>
  <si>
    <t>801,5</t>
  </si>
  <si>
    <t>Χ754757</t>
  </si>
  <si>
    <t>ΣΑΛΩΜΙΔΟΥ</t>
  </si>
  <si>
    <t>ΣΙΜΕΛΑ</t>
  </si>
  <si>
    <t>ΑΗ534521</t>
  </si>
  <si>
    <t>792,5</t>
  </si>
  <si>
    <t>ΒΙΡΓΙΝΙΑ</t>
  </si>
  <si>
    <t>ΑΒ854923</t>
  </si>
  <si>
    <t>ΑΔΑΜΟΠΟΥΛΟΣ</t>
  </si>
  <si>
    <t>Φ241618</t>
  </si>
  <si>
    <t>ΚΟΡΑΤΖΟΠΟΥΛΟΥ ΓΑΛΑΝΑΚΟΠΟΥΛΟΥ</t>
  </si>
  <si>
    <t>ΑΜ329792</t>
  </si>
  <si>
    <t>556,6</t>
  </si>
  <si>
    <t>791,6</t>
  </si>
  <si>
    <t>ΨΑΡΡΑ</t>
  </si>
  <si>
    <t>ΑΖ290529</t>
  </si>
  <si>
    <t>ΜΠΑΚΑΛΗΣ</t>
  </si>
  <si>
    <t>Χ031804</t>
  </si>
  <si>
    <t>735,9</t>
  </si>
  <si>
    <t>785,9</t>
  </si>
  <si>
    <t>ΤΙΓΓΑΣ</t>
  </si>
  <si>
    <t>ΑΖ276348</t>
  </si>
  <si>
    <t>781,5</t>
  </si>
  <si>
    <t>ΜΑΝΘΙΔΟΥ</t>
  </si>
  <si>
    <t>ΝΙΚΟΛΕΤΤΑ-ΤΡΙΑΝΤΑΦΥΛΛΙΑ</t>
  </si>
  <si>
    <t>Χ710733</t>
  </si>
  <si>
    <t>779,5</t>
  </si>
  <si>
    <t>ΑΥΛΩΝΙΤΗ</t>
  </si>
  <si>
    <t>ΑΒ505320</t>
  </si>
  <si>
    <t>ΞΗΡΟΓΙΑΝΝΗ</t>
  </si>
  <si>
    <t>EΛΕΝΗ</t>
  </si>
  <si>
    <t>Σ715799</t>
  </si>
  <si>
    <t>769,5</t>
  </si>
  <si>
    <t>ΚΡΑΒΑΡΗΣ</t>
  </si>
  <si>
    <t>ΧΡΗΣΤΟΣ-ΜΑΡΙΟΣ</t>
  </si>
  <si>
    <t>ΑΒ252720</t>
  </si>
  <si>
    <t>765,5</t>
  </si>
  <si>
    <t>ΜΟΡΦΩΝΙΟΣ</t>
  </si>
  <si>
    <t>ΑΖ944756</t>
  </si>
  <si>
    <t>ΤΣΑΓΚΛΑ ΜΑΝΩΛΑΡΑΚΗ</t>
  </si>
  <si>
    <t>ΑΝ038351</t>
  </si>
  <si>
    <t>761,5</t>
  </si>
  <si>
    <t>ΞΟΥΡΑΣ</t>
  </si>
  <si>
    <t>ΑΖ639098</t>
  </si>
  <si>
    <t>ΤΣΙΦΤΣΗ</t>
  </si>
  <si>
    <t>ΑΘΗΝΑ ΕΙΡΗΝΗ</t>
  </si>
  <si>
    <t>ΑΚ820718</t>
  </si>
  <si>
    <t>ΚΟΥΚΟΥΒΙΝΟΣ</t>
  </si>
  <si>
    <t>Χ726239</t>
  </si>
  <si>
    <t>750,5</t>
  </si>
  <si>
    <t>ΒΛΑΜΑΚΗΣ</t>
  </si>
  <si>
    <t>ΑΙ969709</t>
  </si>
  <si>
    <t>719,4</t>
  </si>
  <si>
    <t>749,4</t>
  </si>
  <si>
    <t>ΣΟΛΔΑΤΟΥ</t>
  </si>
  <si>
    <t>ΑΜ486766</t>
  </si>
  <si>
    <t>ΣΙΜΟΣ</t>
  </si>
  <si>
    <t>Χ395243</t>
  </si>
  <si>
    <t>ΒΑΛΣΑΜΗ</t>
  </si>
  <si>
    <t>ΑΙ558081</t>
  </si>
  <si>
    <t>ΧΡΥΣΑΦΗΣ</t>
  </si>
  <si>
    <t>ΑΒ014719</t>
  </si>
  <si>
    <t>ΣΤΑΥΡΟΥΔΗ</t>
  </si>
  <si>
    <t>ΑΚ943560</t>
  </si>
  <si>
    <t>ΜΠΑΙΖΑΝΟΣ</t>
  </si>
  <si>
    <t>Φ014856</t>
  </si>
  <si>
    <t>ΑΙ208913</t>
  </si>
  <si>
    <t>ΜΑΙΝΑΣ</t>
  </si>
  <si>
    <t>ΑΖ523755</t>
  </si>
  <si>
    <t>ΚΩΣΤΑΓΙΩΡΓΟΣ</t>
  </si>
  <si>
    <t>Τ143972</t>
  </si>
  <si>
    <t>713,5</t>
  </si>
  <si>
    <t>ΑΒ397425</t>
  </si>
  <si>
    <t>ΝΙΝΙΑΤΣΟΥΔΗΣ</t>
  </si>
  <si>
    <t>ΓΙΑΝΝΗΣ</t>
  </si>
  <si>
    <t>ΑΕ833081</t>
  </si>
  <si>
    <t>668,8</t>
  </si>
  <si>
    <t>710,8</t>
  </si>
  <si>
    <t>ΑΜ417361</t>
  </si>
  <si>
    <t>ΧΑΛΙΛΟΠΟΥΛΟΣ</t>
  </si>
  <si>
    <t>ΑΑ096515</t>
  </si>
  <si>
    <t>698,8</t>
  </si>
  <si>
    <t>ΧΑΤΖΑΚΗΣ</t>
  </si>
  <si>
    <t>ΑΗ674967</t>
  </si>
  <si>
    <t>696,3</t>
  </si>
  <si>
    <t>Χ286244</t>
  </si>
  <si>
    <t>692,5</t>
  </si>
  <si>
    <t>ΑΕ088479</t>
  </si>
  <si>
    <t>ΑΗ619686</t>
  </si>
  <si>
    <t>680,5</t>
  </si>
  <si>
    <t>ΣΤΑΜΑΤΑΚΗΣ</t>
  </si>
  <si>
    <t>ΑΝ233318</t>
  </si>
  <si>
    <t>ΧΩΡΙΑΝΟΠΟΥΛΟΣ</t>
  </si>
  <si>
    <t>ΣΩΚΡΑΤΗΣ</t>
  </si>
  <si>
    <t>Χ147694</t>
  </si>
  <si>
    <t>ΠΑΝΑΓΙΩΤΑΚΟΠΟΥΛΟΣ</t>
  </si>
  <si>
    <t>ΑΚ224595</t>
  </si>
  <si>
    <t>675,5</t>
  </si>
  <si>
    <t>ΣΟΛΔΑΤΟΣ</t>
  </si>
  <si>
    <t>ΑΕ476348</t>
  </si>
  <si>
    <t>Τ105142</t>
  </si>
  <si>
    <t>ΧΡΥΣΑΦΕΛΗ</t>
  </si>
  <si>
    <t>ΑΜ614926</t>
  </si>
  <si>
    <t>ΚΑΡΑΠΑΝΑΓΙΩΤΗ</t>
  </si>
  <si>
    <t>ΠΑΡΑΚΕΥΗ</t>
  </si>
  <si>
    <t>Τ480123</t>
  </si>
  <si>
    <t>ΦΑΝΙΑΔΗΣ</t>
  </si>
  <si>
    <t>ΑΝ074979</t>
  </si>
  <si>
    <t>621,5</t>
  </si>
  <si>
    <t>651,5</t>
  </si>
  <si>
    <t>ΓΙΑΝΝΟΥΚΑΚΟΣ</t>
  </si>
  <si>
    <t>Χ539883</t>
  </si>
  <si>
    <t>ΒΡΑΓΚΑΛΗΣ</t>
  </si>
  <si>
    <t>Σ652456</t>
  </si>
  <si>
    <t>ΚΑΡΑΘΑΝΑΣΗ</t>
  </si>
  <si>
    <t>ΧΡΥΣΑΝΘΗ</t>
  </si>
  <si>
    <t>ΑΖ519376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</si>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</sst>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1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821</v>
      </c>
      <c r="C8" t="s">
        <v>13</v>
      </c>
      <c r="D8" t="s">
        <v>14</v>
      </c>
      <c r="E8" t="s">
        <v>15</v>
      </c>
      <c r="F8" t="s">
        <v>16</v>
      </c>
      <c r="G8" t="str">
        <f>"200801008699"</f>
        <v>200801008699</v>
      </c>
      <c r="H8" t="s">
        <v>17</v>
      </c>
      <c r="I8">
        <v>150</v>
      </c>
      <c r="J8">
        <v>50</v>
      </c>
      <c r="K8">
        <v>30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1</v>
      </c>
      <c r="W8" t="s">
        <v>18</v>
      </c>
    </row>
    <row r="9" spans="1:23" x14ac:dyDescent="0.25">
      <c r="H9">
        <v>400</v>
      </c>
    </row>
    <row r="10" spans="1:23" x14ac:dyDescent="0.25">
      <c r="A10">
        <v>2</v>
      </c>
      <c r="B10">
        <v>785</v>
      </c>
      <c r="C10" t="s">
        <v>19</v>
      </c>
      <c r="D10" t="s">
        <v>20</v>
      </c>
      <c r="E10" t="s">
        <v>21</v>
      </c>
      <c r="F10" t="s">
        <v>22</v>
      </c>
      <c r="G10" t="str">
        <f>"201506003264"</f>
        <v>201506003264</v>
      </c>
      <c r="H10" t="s">
        <v>23</v>
      </c>
      <c r="I10">
        <v>0</v>
      </c>
      <c r="J10">
        <v>70</v>
      </c>
      <c r="K10">
        <v>30</v>
      </c>
      <c r="L10">
        <v>0</v>
      </c>
      <c r="M10">
        <v>0</v>
      </c>
      <c r="N10">
        <v>70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24</v>
      </c>
    </row>
    <row r="11" spans="1:23" x14ac:dyDescent="0.25">
      <c r="H11">
        <v>400</v>
      </c>
    </row>
    <row r="12" spans="1:23" x14ac:dyDescent="0.25">
      <c r="A12">
        <v>3</v>
      </c>
      <c r="B12">
        <v>281</v>
      </c>
      <c r="C12" t="s">
        <v>25</v>
      </c>
      <c r="D12" t="s">
        <v>26</v>
      </c>
      <c r="E12" t="s">
        <v>27</v>
      </c>
      <c r="F12" t="s">
        <v>28</v>
      </c>
      <c r="G12" t="str">
        <f>"200808000715"</f>
        <v>200808000715</v>
      </c>
      <c r="H12" t="s">
        <v>29</v>
      </c>
      <c r="I12">
        <v>150</v>
      </c>
      <c r="J12">
        <v>70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 t="s">
        <v>30</v>
      </c>
    </row>
    <row r="13" spans="1:23" x14ac:dyDescent="0.25">
      <c r="H13">
        <v>400</v>
      </c>
    </row>
    <row r="14" spans="1:23" x14ac:dyDescent="0.25">
      <c r="A14">
        <v>4</v>
      </c>
      <c r="B14">
        <v>767</v>
      </c>
      <c r="C14" t="s">
        <v>31</v>
      </c>
      <c r="D14" t="s">
        <v>32</v>
      </c>
      <c r="E14" t="s">
        <v>33</v>
      </c>
      <c r="F14" t="s">
        <v>34</v>
      </c>
      <c r="G14" t="str">
        <f>"00200041"</f>
        <v>00200041</v>
      </c>
      <c r="H14" t="s">
        <v>35</v>
      </c>
      <c r="I14">
        <v>0</v>
      </c>
      <c r="J14">
        <v>70</v>
      </c>
      <c r="K14">
        <v>0</v>
      </c>
      <c r="L14">
        <v>70</v>
      </c>
      <c r="M14">
        <v>30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1</v>
      </c>
      <c r="W14" t="s">
        <v>36</v>
      </c>
    </row>
    <row r="15" spans="1:23" x14ac:dyDescent="0.25">
      <c r="H15">
        <v>400</v>
      </c>
    </row>
    <row r="16" spans="1:23" x14ac:dyDescent="0.25">
      <c r="A16">
        <v>5</v>
      </c>
      <c r="B16">
        <v>715</v>
      </c>
      <c r="C16" t="s">
        <v>37</v>
      </c>
      <c r="D16" t="s">
        <v>38</v>
      </c>
      <c r="E16" t="s">
        <v>39</v>
      </c>
      <c r="F16" t="s">
        <v>40</v>
      </c>
      <c r="G16" t="str">
        <f>"200712000550"</f>
        <v>200712000550</v>
      </c>
      <c r="H16" t="s">
        <v>41</v>
      </c>
      <c r="I16">
        <v>0</v>
      </c>
      <c r="J16">
        <v>70</v>
      </c>
      <c r="K16">
        <v>70</v>
      </c>
      <c r="L16">
        <v>0</v>
      </c>
      <c r="M16">
        <v>30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 t="s">
        <v>42</v>
      </c>
    </row>
    <row r="17" spans="1:23" x14ac:dyDescent="0.25">
      <c r="H17">
        <v>400</v>
      </c>
    </row>
    <row r="18" spans="1:23" x14ac:dyDescent="0.25">
      <c r="A18">
        <v>6</v>
      </c>
      <c r="B18">
        <v>14</v>
      </c>
      <c r="C18" t="s">
        <v>43</v>
      </c>
      <c r="D18" t="s">
        <v>44</v>
      </c>
      <c r="E18" t="s">
        <v>45</v>
      </c>
      <c r="F18" t="s">
        <v>46</v>
      </c>
      <c r="G18" t="str">
        <f>"201406013889"</f>
        <v>201406013889</v>
      </c>
      <c r="H18" t="s">
        <v>35</v>
      </c>
      <c r="I18">
        <v>0</v>
      </c>
      <c r="J18">
        <v>70</v>
      </c>
      <c r="K18">
        <v>50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 t="s">
        <v>47</v>
      </c>
    </row>
    <row r="19" spans="1:23" x14ac:dyDescent="0.25">
      <c r="H19">
        <v>400</v>
      </c>
    </row>
    <row r="20" spans="1:23" x14ac:dyDescent="0.25">
      <c r="A20">
        <v>7</v>
      </c>
      <c r="B20">
        <v>978</v>
      </c>
      <c r="C20" t="s">
        <v>48</v>
      </c>
      <c r="D20" t="s">
        <v>49</v>
      </c>
      <c r="E20" t="s">
        <v>50</v>
      </c>
      <c r="F20">
        <v>1041707</v>
      </c>
      <c r="G20" t="str">
        <f>"201406003340"</f>
        <v>201406003340</v>
      </c>
      <c r="H20">
        <v>1056</v>
      </c>
      <c r="I20">
        <v>0</v>
      </c>
      <c r="J20">
        <v>70</v>
      </c>
      <c r="K20">
        <v>0</v>
      </c>
      <c r="L20">
        <v>0</v>
      </c>
      <c r="M20">
        <v>30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>
        <v>1744</v>
      </c>
    </row>
    <row r="21" spans="1:23" x14ac:dyDescent="0.25">
      <c r="H21">
        <v>400</v>
      </c>
    </row>
    <row r="22" spans="1:23" x14ac:dyDescent="0.25">
      <c r="A22">
        <v>8</v>
      </c>
      <c r="B22">
        <v>510</v>
      </c>
      <c r="C22" t="s">
        <v>51</v>
      </c>
      <c r="D22" t="s">
        <v>52</v>
      </c>
      <c r="E22" t="s">
        <v>53</v>
      </c>
      <c r="F22" t="s">
        <v>54</v>
      </c>
      <c r="G22" t="str">
        <f>"00049302"</f>
        <v>00049302</v>
      </c>
      <c r="H22" t="s">
        <v>55</v>
      </c>
      <c r="I22">
        <v>0</v>
      </c>
      <c r="J22">
        <v>70</v>
      </c>
      <c r="K22">
        <v>30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0</v>
      </c>
      <c r="W22" t="s">
        <v>56</v>
      </c>
    </row>
    <row r="23" spans="1:23" x14ac:dyDescent="0.25">
      <c r="H23">
        <v>400</v>
      </c>
    </row>
    <row r="24" spans="1:23" x14ac:dyDescent="0.25">
      <c r="A24">
        <v>9</v>
      </c>
      <c r="B24">
        <v>91</v>
      </c>
      <c r="C24" t="s">
        <v>57</v>
      </c>
      <c r="D24" t="s">
        <v>58</v>
      </c>
      <c r="E24" t="s">
        <v>59</v>
      </c>
      <c r="F24" t="s">
        <v>60</v>
      </c>
      <c r="G24" t="str">
        <f>"201410004682"</f>
        <v>201410004682</v>
      </c>
      <c r="H24">
        <v>1001</v>
      </c>
      <c r="I24">
        <v>0</v>
      </c>
      <c r="J24">
        <v>70</v>
      </c>
      <c r="K24">
        <v>30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0</v>
      </c>
      <c r="W24">
        <v>1719</v>
      </c>
    </row>
    <row r="25" spans="1:23" x14ac:dyDescent="0.25">
      <c r="H25">
        <v>400</v>
      </c>
    </row>
    <row r="26" spans="1:23" x14ac:dyDescent="0.25">
      <c r="A26">
        <v>10</v>
      </c>
      <c r="B26">
        <v>1149</v>
      </c>
      <c r="C26" t="s">
        <v>61</v>
      </c>
      <c r="D26" t="s">
        <v>62</v>
      </c>
      <c r="E26" t="s">
        <v>63</v>
      </c>
      <c r="F26" t="s">
        <v>64</v>
      </c>
      <c r="G26" t="str">
        <f>"200802012245"</f>
        <v>200802012245</v>
      </c>
      <c r="H26">
        <v>990</v>
      </c>
      <c r="I26">
        <v>0</v>
      </c>
      <c r="J26">
        <v>70</v>
      </c>
      <c r="K26">
        <v>0</v>
      </c>
      <c r="L26">
        <v>70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0</v>
      </c>
      <c r="W26">
        <v>1718</v>
      </c>
    </row>
    <row r="27" spans="1:23" x14ac:dyDescent="0.25">
      <c r="H27">
        <v>400</v>
      </c>
    </row>
    <row r="28" spans="1:23" x14ac:dyDescent="0.25">
      <c r="A28">
        <v>11</v>
      </c>
      <c r="B28">
        <v>212</v>
      </c>
      <c r="C28" t="s">
        <v>65</v>
      </c>
      <c r="D28" t="s">
        <v>66</v>
      </c>
      <c r="E28" t="s">
        <v>15</v>
      </c>
      <c r="F28" t="s">
        <v>67</v>
      </c>
      <c r="G28" t="str">
        <f>"200801005746"</f>
        <v>200801005746</v>
      </c>
      <c r="H28" t="s">
        <v>68</v>
      </c>
      <c r="I28">
        <v>0</v>
      </c>
      <c r="J28">
        <v>70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1</v>
      </c>
      <c r="W28" t="s">
        <v>69</v>
      </c>
    </row>
    <row r="29" spans="1:23" x14ac:dyDescent="0.25">
      <c r="H29">
        <v>400</v>
      </c>
    </row>
    <row r="30" spans="1:23" x14ac:dyDescent="0.25">
      <c r="A30">
        <v>12</v>
      </c>
      <c r="B30">
        <v>20</v>
      </c>
      <c r="C30" t="s">
        <v>70</v>
      </c>
      <c r="D30" t="s">
        <v>71</v>
      </c>
      <c r="E30" t="s">
        <v>39</v>
      </c>
      <c r="F30" t="s">
        <v>72</v>
      </c>
      <c r="G30" t="str">
        <f>"00214128"</f>
        <v>00214128</v>
      </c>
      <c r="H30">
        <v>1056</v>
      </c>
      <c r="I30">
        <v>0</v>
      </c>
      <c r="J30">
        <v>70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0</v>
      </c>
      <c r="W30">
        <v>1714</v>
      </c>
    </row>
    <row r="31" spans="1:23" x14ac:dyDescent="0.25">
      <c r="H31">
        <v>400</v>
      </c>
    </row>
    <row r="32" spans="1:23" x14ac:dyDescent="0.25">
      <c r="A32">
        <v>13</v>
      </c>
      <c r="B32">
        <v>881</v>
      </c>
      <c r="C32" t="s">
        <v>73</v>
      </c>
      <c r="D32" t="s">
        <v>74</v>
      </c>
      <c r="E32" t="s">
        <v>27</v>
      </c>
      <c r="F32" t="s">
        <v>75</v>
      </c>
      <c r="G32" t="str">
        <f>"201501000180"</f>
        <v>201501000180</v>
      </c>
      <c r="H32">
        <v>1056</v>
      </c>
      <c r="I32">
        <v>0</v>
      </c>
      <c r="J32">
        <v>70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>
        <v>1714</v>
      </c>
    </row>
    <row r="33" spans="1:23" x14ac:dyDescent="0.25">
      <c r="H33" t="s">
        <v>76</v>
      </c>
    </row>
    <row r="34" spans="1:23" x14ac:dyDescent="0.25">
      <c r="A34">
        <v>14</v>
      </c>
      <c r="B34">
        <v>692</v>
      </c>
      <c r="C34" t="s">
        <v>77</v>
      </c>
      <c r="D34" t="s">
        <v>78</v>
      </c>
      <c r="E34" t="s">
        <v>49</v>
      </c>
      <c r="F34" t="s">
        <v>79</v>
      </c>
      <c r="G34" t="str">
        <f>"200809000392"</f>
        <v>200809000392</v>
      </c>
      <c r="H34">
        <v>1023</v>
      </c>
      <c r="I34">
        <v>0</v>
      </c>
      <c r="J34">
        <v>70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0</v>
      </c>
      <c r="W34">
        <v>1711</v>
      </c>
    </row>
    <row r="35" spans="1:23" x14ac:dyDescent="0.25">
      <c r="H35">
        <v>400</v>
      </c>
    </row>
    <row r="36" spans="1:23" x14ac:dyDescent="0.25">
      <c r="A36">
        <v>15</v>
      </c>
      <c r="B36">
        <v>35</v>
      </c>
      <c r="C36" t="s">
        <v>80</v>
      </c>
      <c r="D36" t="s">
        <v>81</v>
      </c>
      <c r="E36" t="s">
        <v>82</v>
      </c>
      <c r="F36" t="s">
        <v>83</v>
      </c>
      <c r="G36" t="str">
        <f>"200801007097"</f>
        <v>200801007097</v>
      </c>
      <c r="H36" t="s">
        <v>84</v>
      </c>
      <c r="I36">
        <v>0</v>
      </c>
      <c r="J36">
        <v>70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0</v>
      </c>
      <c r="W36" t="s">
        <v>85</v>
      </c>
    </row>
    <row r="37" spans="1:23" x14ac:dyDescent="0.25">
      <c r="H37">
        <v>400</v>
      </c>
    </row>
    <row r="38" spans="1:23" x14ac:dyDescent="0.25">
      <c r="A38">
        <v>16</v>
      </c>
      <c r="B38">
        <v>65</v>
      </c>
      <c r="C38" t="s">
        <v>86</v>
      </c>
      <c r="D38" t="s">
        <v>87</v>
      </c>
      <c r="E38" t="s">
        <v>15</v>
      </c>
      <c r="F38" t="s">
        <v>88</v>
      </c>
      <c r="G38" t="str">
        <f>"201004000099"</f>
        <v>201004000099</v>
      </c>
      <c r="H38" t="s">
        <v>35</v>
      </c>
      <c r="I38">
        <v>0</v>
      </c>
      <c r="J38">
        <v>70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0</v>
      </c>
      <c r="W38" t="s">
        <v>89</v>
      </c>
    </row>
    <row r="39" spans="1:23" x14ac:dyDescent="0.25">
      <c r="H39" t="s">
        <v>76</v>
      </c>
    </row>
    <row r="40" spans="1:23" x14ac:dyDescent="0.25">
      <c r="A40">
        <v>17</v>
      </c>
      <c r="B40">
        <v>72</v>
      </c>
      <c r="C40" t="s">
        <v>90</v>
      </c>
      <c r="D40" t="s">
        <v>91</v>
      </c>
      <c r="E40" t="s">
        <v>92</v>
      </c>
      <c r="F40" t="s">
        <v>93</v>
      </c>
      <c r="G40" t="str">
        <f>"00217103"</f>
        <v>00217103</v>
      </c>
      <c r="H40">
        <v>1078</v>
      </c>
      <c r="I40">
        <v>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84</v>
      </c>
      <c r="S40">
        <v>588</v>
      </c>
      <c r="T40">
        <v>0</v>
      </c>
      <c r="V40">
        <v>0</v>
      </c>
      <c r="W40">
        <v>1696</v>
      </c>
    </row>
    <row r="41" spans="1:23" x14ac:dyDescent="0.25">
      <c r="H41">
        <v>400</v>
      </c>
    </row>
    <row r="42" spans="1:23" x14ac:dyDescent="0.25">
      <c r="A42">
        <v>18</v>
      </c>
      <c r="B42">
        <v>33</v>
      </c>
      <c r="C42" t="s">
        <v>94</v>
      </c>
      <c r="D42" t="s">
        <v>15</v>
      </c>
      <c r="E42" t="s">
        <v>27</v>
      </c>
      <c r="F42" t="s">
        <v>95</v>
      </c>
      <c r="G42" t="str">
        <f>"200910000853"</f>
        <v>200910000853</v>
      </c>
      <c r="H42">
        <v>1034</v>
      </c>
      <c r="I42">
        <v>0</v>
      </c>
      <c r="J42">
        <v>70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84</v>
      </c>
      <c r="S42">
        <v>588</v>
      </c>
      <c r="T42">
        <v>0</v>
      </c>
      <c r="V42">
        <v>0</v>
      </c>
      <c r="W42">
        <v>1692</v>
      </c>
    </row>
    <row r="43" spans="1:23" x14ac:dyDescent="0.25">
      <c r="H43">
        <v>400</v>
      </c>
    </row>
    <row r="44" spans="1:23" x14ac:dyDescent="0.25">
      <c r="A44">
        <v>19</v>
      </c>
      <c r="B44">
        <v>1329</v>
      </c>
      <c r="C44" t="s">
        <v>96</v>
      </c>
      <c r="D44" t="s">
        <v>97</v>
      </c>
      <c r="E44" t="s">
        <v>98</v>
      </c>
      <c r="F44" t="s">
        <v>99</v>
      </c>
      <c r="G44" t="str">
        <f>"00197885"</f>
        <v>00197885</v>
      </c>
      <c r="H44" t="s">
        <v>68</v>
      </c>
      <c r="I44">
        <v>0</v>
      </c>
      <c r="J44">
        <v>70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84</v>
      </c>
      <c r="S44">
        <v>588</v>
      </c>
      <c r="T44">
        <v>0</v>
      </c>
      <c r="V44">
        <v>0</v>
      </c>
      <c r="W44" t="s">
        <v>100</v>
      </c>
    </row>
    <row r="45" spans="1:23" x14ac:dyDescent="0.25">
      <c r="H45">
        <v>400</v>
      </c>
    </row>
    <row r="46" spans="1:23" x14ac:dyDescent="0.25">
      <c r="A46">
        <v>20</v>
      </c>
      <c r="B46">
        <v>1137</v>
      </c>
      <c r="C46" t="s">
        <v>101</v>
      </c>
      <c r="D46" t="s">
        <v>102</v>
      </c>
      <c r="E46" t="s">
        <v>21</v>
      </c>
      <c r="F46" t="s">
        <v>103</v>
      </c>
      <c r="G46" t="str">
        <f>"201406014161"</f>
        <v>201406014161</v>
      </c>
      <c r="H46" t="s">
        <v>41</v>
      </c>
      <c r="I46">
        <v>0</v>
      </c>
      <c r="J46">
        <v>70</v>
      </c>
      <c r="K46">
        <v>0</v>
      </c>
      <c r="L46">
        <v>0</v>
      </c>
      <c r="M46">
        <v>0</v>
      </c>
      <c r="N46">
        <v>70</v>
      </c>
      <c r="O46">
        <v>0</v>
      </c>
      <c r="P46">
        <v>0</v>
      </c>
      <c r="Q46">
        <v>0</v>
      </c>
      <c r="R46">
        <v>76</v>
      </c>
      <c r="S46">
        <v>532</v>
      </c>
      <c r="T46">
        <v>0</v>
      </c>
      <c r="V46">
        <v>0</v>
      </c>
      <c r="W46" t="s">
        <v>104</v>
      </c>
    </row>
    <row r="47" spans="1:23" x14ac:dyDescent="0.25">
      <c r="H47">
        <v>400</v>
      </c>
    </row>
    <row r="48" spans="1:23" x14ac:dyDescent="0.25">
      <c r="A48">
        <v>21</v>
      </c>
      <c r="B48">
        <v>222</v>
      </c>
      <c r="C48" t="s">
        <v>105</v>
      </c>
      <c r="D48" t="s">
        <v>106</v>
      </c>
      <c r="E48" t="s">
        <v>15</v>
      </c>
      <c r="F48" t="s">
        <v>107</v>
      </c>
      <c r="G48" t="str">
        <f>"200802009967"</f>
        <v>200802009967</v>
      </c>
      <c r="H48" t="s">
        <v>108</v>
      </c>
      <c r="I48">
        <v>0</v>
      </c>
      <c r="J48">
        <v>70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84</v>
      </c>
      <c r="S48">
        <v>588</v>
      </c>
      <c r="T48">
        <v>0</v>
      </c>
      <c r="V48">
        <v>0</v>
      </c>
      <c r="W48" t="s">
        <v>109</v>
      </c>
    </row>
    <row r="49" spans="1:23" x14ac:dyDescent="0.25">
      <c r="H49">
        <v>400</v>
      </c>
    </row>
    <row r="50" spans="1:23" x14ac:dyDescent="0.25">
      <c r="A50">
        <v>22</v>
      </c>
      <c r="B50">
        <v>1828</v>
      </c>
      <c r="C50" t="s">
        <v>110</v>
      </c>
      <c r="D50" t="s">
        <v>111</v>
      </c>
      <c r="E50" t="s">
        <v>112</v>
      </c>
      <c r="F50" t="s">
        <v>113</v>
      </c>
      <c r="G50" t="str">
        <f>"200712004144"</f>
        <v>200712004144</v>
      </c>
      <c r="H50" t="s">
        <v>114</v>
      </c>
      <c r="I50">
        <v>0</v>
      </c>
      <c r="J50">
        <v>70</v>
      </c>
      <c r="K50">
        <v>50</v>
      </c>
      <c r="L50">
        <v>50</v>
      </c>
      <c r="M50">
        <v>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1</v>
      </c>
      <c r="W50" t="s">
        <v>115</v>
      </c>
    </row>
    <row r="51" spans="1:23" x14ac:dyDescent="0.25">
      <c r="H51">
        <v>400</v>
      </c>
    </row>
    <row r="52" spans="1:23" x14ac:dyDescent="0.25">
      <c r="A52">
        <v>23</v>
      </c>
      <c r="B52">
        <v>344</v>
      </c>
      <c r="C52" t="s">
        <v>116</v>
      </c>
      <c r="D52" t="s">
        <v>117</v>
      </c>
      <c r="E52" t="s">
        <v>118</v>
      </c>
      <c r="F52" t="s">
        <v>119</v>
      </c>
      <c r="G52" t="str">
        <f>"00135124"</f>
        <v>00135124</v>
      </c>
      <c r="H52" t="s">
        <v>120</v>
      </c>
      <c r="I52">
        <v>0</v>
      </c>
      <c r="J52">
        <v>70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0</v>
      </c>
      <c r="W52" t="s">
        <v>121</v>
      </c>
    </row>
    <row r="53" spans="1:23" x14ac:dyDescent="0.25">
      <c r="H53">
        <v>400</v>
      </c>
    </row>
    <row r="54" spans="1:23" x14ac:dyDescent="0.25">
      <c r="A54">
        <v>24</v>
      </c>
      <c r="B54">
        <v>1359</v>
      </c>
      <c r="C54" t="s">
        <v>122</v>
      </c>
      <c r="D54" t="s">
        <v>20</v>
      </c>
      <c r="E54" t="s">
        <v>71</v>
      </c>
      <c r="F54" t="s">
        <v>123</v>
      </c>
      <c r="G54" t="str">
        <f>"00014222"</f>
        <v>00014222</v>
      </c>
      <c r="H54" t="s">
        <v>120</v>
      </c>
      <c r="I54">
        <v>0</v>
      </c>
      <c r="J54">
        <v>70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84</v>
      </c>
      <c r="S54">
        <v>588</v>
      </c>
      <c r="T54">
        <v>0</v>
      </c>
      <c r="V54">
        <v>0</v>
      </c>
      <c r="W54" t="s">
        <v>121</v>
      </c>
    </row>
    <row r="55" spans="1:23" x14ac:dyDescent="0.25">
      <c r="H55">
        <v>400</v>
      </c>
    </row>
    <row r="56" spans="1:23" x14ac:dyDescent="0.25">
      <c r="A56">
        <v>25</v>
      </c>
      <c r="B56">
        <v>1793</v>
      </c>
      <c r="C56" t="s">
        <v>124</v>
      </c>
      <c r="D56" t="s">
        <v>125</v>
      </c>
      <c r="E56" t="s">
        <v>126</v>
      </c>
      <c r="F56" t="s">
        <v>127</v>
      </c>
      <c r="G56" t="str">
        <f>"00212135"</f>
        <v>00212135</v>
      </c>
      <c r="H56" t="s">
        <v>128</v>
      </c>
      <c r="I56">
        <v>150</v>
      </c>
      <c r="J56">
        <v>70</v>
      </c>
      <c r="K56">
        <v>30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0</v>
      </c>
      <c r="W56" t="s">
        <v>129</v>
      </c>
    </row>
    <row r="57" spans="1:23" x14ac:dyDescent="0.25">
      <c r="H57">
        <v>400</v>
      </c>
    </row>
    <row r="58" spans="1:23" x14ac:dyDescent="0.25">
      <c r="A58">
        <v>26</v>
      </c>
      <c r="B58">
        <v>1084</v>
      </c>
      <c r="C58" t="s">
        <v>130</v>
      </c>
      <c r="D58" t="s">
        <v>131</v>
      </c>
      <c r="E58" t="s">
        <v>132</v>
      </c>
      <c r="F58" t="s">
        <v>133</v>
      </c>
      <c r="G58" t="str">
        <f>"00212141"</f>
        <v>00212141</v>
      </c>
      <c r="H58" t="s">
        <v>134</v>
      </c>
      <c r="I58">
        <v>150</v>
      </c>
      <c r="J58">
        <v>70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84</v>
      </c>
      <c r="S58">
        <v>588</v>
      </c>
      <c r="T58">
        <v>0</v>
      </c>
      <c r="V58">
        <v>0</v>
      </c>
      <c r="W58" t="s">
        <v>135</v>
      </c>
    </row>
    <row r="59" spans="1:23" x14ac:dyDescent="0.25">
      <c r="H59">
        <v>400</v>
      </c>
    </row>
    <row r="60" spans="1:23" x14ac:dyDescent="0.25">
      <c r="A60">
        <v>27</v>
      </c>
      <c r="B60">
        <v>1501</v>
      </c>
      <c r="C60" t="s">
        <v>136</v>
      </c>
      <c r="D60" t="s">
        <v>137</v>
      </c>
      <c r="E60" t="s">
        <v>138</v>
      </c>
      <c r="F60" t="s">
        <v>139</v>
      </c>
      <c r="G60" t="str">
        <f>"201406012486"</f>
        <v>201406012486</v>
      </c>
      <c r="H60">
        <v>1023</v>
      </c>
      <c r="I60">
        <v>150</v>
      </c>
      <c r="J60">
        <v>70</v>
      </c>
      <c r="K60">
        <v>0</v>
      </c>
      <c r="L60">
        <v>50</v>
      </c>
      <c r="M60">
        <v>0</v>
      </c>
      <c r="N60">
        <v>0</v>
      </c>
      <c r="O60">
        <v>0</v>
      </c>
      <c r="P60">
        <v>0</v>
      </c>
      <c r="Q60">
        <v>0</v>
      </c>
      <c r="R60">
        <v>54</v>
      </c>
      <c r="S60">
        <v>378</v>
      </c>
      <c r="T60">
        <v>0</v>
      </c>
      <c r="V60">
        <v>0</v>
      </c>
      <c r="W60">
        <v>1671</v>
      </c>
    </row>
    <row r="61" spans="1:23" x14ac:dyDescent="0.25">
      <c r="H61" t="s">
        <v>76</v>
      </c>
    </row>
    <row r="62" spans="1:23" x14ac:dyDescent="0.25">
      <c r="A62">
        <v>28</v>
      </c>
      <c r="B62">
        <v>505</v>
      </c>
      <c r="C62" t="s">
        <v>140</v>
      </c>
      <c r="D62" t="s">
        <v>71</v>
      </c>
      <c r="E62" t="s">
        <v>27</v>
      </c>
      <c r="F62" t="s">
        <v>141</v>
      </c>
      <c r="G62" t="str">
        <f>"201512005419"</f>
        <v>201512005419</v>
      </c>
      <c r="H62">
        <v>1023</v>
      </c>
      <c r="I62">
        <v>150</v>
      </c>
      <c r="J62">
        <v>70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61</v>
      </c>
      <c r="S62">
        <v>427</v>
      </c>
      <c r="T62">
        <v>0</v>
      </c>
      <c r="V62">
        <v>0</v>
      </c>
      <c r="W62">
        <v>1670</v>
      </c>
    </row>
    <row r="63" spans="1:23" x14ac:dyDescent="0.25">
      <c r="H63">
        <v>400</v>
      </c>
    </row>
    <row r="64" spans="1:23" x14ac:dyDescent="0.25">
      <c r="A64">
        <v>29</v>
      </c>
      <c r="B64">
        <v>217</v>
      </c>
      <c r="C64" t="s">
        <v>142</v>
      </c>
      <c r="D64" t="s">
        <v>143</v>
      </c>
      <c r="E64" t="s">
        <v>144</v>
      </c>
      <c r="F64" t="s">
        <v>145</v>
      </c>
      <c r="G64" t="str">
        <f>"201402002316"</f>
        <v>201402002316</v>
      </c>
      <c r="H64">
        <v>1012</v>
      </c>
      <c r="I64">
        <v>0</v>
      </c>
      <c r="J64">
        <v>70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84</v>
      </c>
      <c r="S64">
        <v>588</v>
      </c>
      <c r="T64">
        <v>0</v>
      </c>
      <c r="V64">
        <v>0</v>
      </c>
      <c r="W64">
        <v>1670</v>
      </c>
    </row>
    <row r="65" spans="1:23" x14ac:dyDescent="0.25">
      <c r="H65">
        <v>400</v>
      </c>
    </row>
    <row r="66" spans="1:23" x14ac:dyDescent="0.25">
      <c r="A66">
        <v>30</v>
      </c>
      <c r="B66">
        <v>1774</v>
      </c>
      <c r="C66" t="s">
        <v>146</v>
      </c>
      <c r="D66" t="s">
        <v>147</v>
      </c>
      <c r="E66" t="s">
        <v>15</v>
      </c>
      <c r="F66" t="s">
        <v>148</v>
      </c>
      <c r="G66" t="str">
        <f>"201504004592"</f>
        <v>201504004592</v>
      </c>
      <c r="H66">
        <v>902</v>
      </c>
      <c r="I66">
        <v>150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0</v>
      </c>
      <c r="W66">
        <v>1670</v>
      </c>
    </row>
    <row r="67" spans="1:23" x14ac:dyDescent="0.25">
      <c r="H67">
        <v>400</v>
      </c>
    </row>
    <row r="68" spans="1:23" x14ac:dyDescent="0.25">
      <c r="A68">
        <v>31</v>
      </c>
      <c r="B68">
        <v>41</v>
      </c>
      <c r="C68" t="s">
        <v>149</v>
      </c>
      <c r="D68" t="s">
        <v>150</v>
      </c>
      <c r="E68" t="s">
        <v>39</v>
      </c>
      <c r="F68" t="s">
        <v>151</v>
      </c>
      <c r="G68" t="str">
        <f>"201406004831"</f>
        <v>201406004831</v>
      </c>
      <c r="H68" t="s">
        <v>120</v>
      </c>
      <c r="I68">
        <v>0</v>
      </c>
      <c r="J68">
        <v>70</v>
      </c>
      <c r="K68">
        <v>0</v>
      </c>
      <c r="L68">
        <v>0</v>
      </c>
      <c r="M68">
        <v>0</v>
      </c>
      <c r="N68">
        <v>70</v>
      </c>
      <c r="O68">
        <v>0</v>
      </c>
      <c r="P68">
        <v>0</v>
      </c>
      <c r="Q68">
        <v>0</v>
      </c>
      <c r="R68">
        <v>73</v>
      </c>
      <c r="S68">
        <v>511</v>
      </c>
      <c r="T68">
        <v>0</v>
      </c>
      <c r="V68">
        <v>0</v>
      </c>
      <c r="W68" t="s">
        <v>152</v>
      </c>
    </row>
    <row r="69" spans="1:23" x14ac:dyDescent="0.25">
      <c r="H69">
        <v>400</v>
      </c>
    </row>
    <row r="70" spans="1:23" x14ac:dyDescent="0.25">
      <c r="A70">
        <v>32</v>
      </c>
      <c r="B70">
        <v>1409</v>
      </c>
      <c r="C70" t="s">
        <v>153</v>
      </c>
      <c r="D70" t="s">
        <v>154</v>
      </c>
      <c r="E70" t="s">
        <v>27</v>
      </c>
      <c r="F70" t="s">
        <v>155</v>
      </c>
      <c r="G70" t="str">
        <f>"201506001561"</f>
        <v>201506001561</v>
      </c>
      <c r="H70">
        <v>979</v>
      </c>
      <c r="I70">
        <v>0</v>
      </c>
      <c r="J70">
        <v>70</v>
      </c>
      <c r="K70">
        <v>0</v>
      </c>
      <c r="L70">
        <v>30</v>
      </c>
      <c r="M70">
        <v>0</v>
      </c>
      <c r="N70">
        <v>0</v>
      </c>
      <c r="O70">
        <v>0</v>
      </c>
      <c r="P70">
        <v>0</v>
      </c>
      <c r="Q70">
        <v>0</v>
      </c>
      <c r="R70">
        <v>84</v>
      </c>
      <c r="S70">
        <v>588</v>
      </c>
      <c r="T70">
        <v>0</v>
      </c>
      <c r="V70">
        <v>0</v>
      </c>
      <c r="W70">
        <v>1667</v>
      </c>
    </row>
    <row r="71" spans="1:23" x14ac:dyDescent="0.25">
      <c r="H71">
        <v>400</v>
      </c>
    </row>
    <row r="72" spans="1:23" x14ac:dyDescent="0.25">
      <c r="A72">
        <v>33</v>
      </c>
      <c r="B72">
        <v>37</v>
      </c>
      <c r="C72" t="s">
        <v>156</v>
      </c>
      <c r="D72" t="s">
        <v>157</v>
      </c>
      <c r="E72" t="s">
        <v>158</v>
      </c>
      <c r="F72" t="s">
        <v>159</v>
      </c>
      <c r="G72" t="str">
        <f>"201406019029"</f>
        <v>201406019029</v>
      </c>
      <c r="H72">
        <v>1100</v>
      </c>
      <c r="I72">
        <v>150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55</v>
      </c>
      <c r="S72">
        <v>385</v>
      </c>
      <c r="T72">
        <v>0</v>
      </c>
      <c r="V72">
        <v>0</v>
      </c>
      <c r="W72">
        <v>1665</v>
      </c>
    </row>
    <row r="73" spans="1:23" x14ac:dyDescent="0.25">
      <c r="H73">
        <v>400</v>
      </c>
    </row>
    <row r="74" spans="1:23" x14ac:dyDescent="0.25">
      <c r="A74">
        <v>34</v>
      </c>
      <c r="B74">
        <v>526</v>
      </c>
      <c r="C74" t="s">
        <v>160</v>
      </c>
      <c r="D74" t="s">
        <v>45</v>
      </c>
      <c r="E74" t="s">
        <v>15</v>
      </c>
      <c r="F74" t="s">
        <v>161</v>
      </c>
      <c r="G74" t="str">
        <f>"201304000811"</f>
        <v>201304000811</v>
      </c>
      <c r="H74">
        <v>990</v>
      </c>
      <c r="I74">
        <v>0</v>
      </c>
      <c r="J74">
        <v>70</v>
      </c>
      <c r="K74">
        <v>30</v>
      </c>
      <c r="L74">
        <v>50</v>
      </c>
      <c r="M74">
        <v>0</v>
      </c>
      <c r="N74">
        <v>0</v>
      </c>
      <c r="O74">
        <v>0</v>
      </c>
      <c r="P74">
        <v>0</v>
      </c>
      <c r="Q74">
        <v>0</v>
      </c>
      <c r="R74">
        <v>75</v>
      </c>
      <c r="S74">
        <v>525</v>
      </c>
      <c r="T74">
        <v>0</v>
      </c>
      <c r="V74">
        <v>0</v>
      </c>
      <c r="W74">
        <v>1665</v>
      </c>
    </row>
    <row r="75" spans="1:23" x14ac:dyDescent="0.25">
      <c r="H75">
        <v>400</v>
      </c>
    </row>
    <row r="76" spans="1:23" x14ac:dyDescent="0.25">
      <c r="A76">
        <v>35</v>
      </c>
      <c r="B76">
        <v>484</v>
      </c>
      <c r="C76" t="s">
        <v>162</v>
      </c>
      <c r="D76" t="s">
        <v>163</v>
      </c>
      <c r="E76" t="s">
        <v>27</v>
      </c>
      <c r="F76" t="s">
        <v>164</v>
      </c>
      <c r="G76" t="str">
        <f>"201506002071"</f>
        <v>201506002071</v>
      </c>
      <c r="H76">
        <v>968</v>
      </c>
      <c r="I76">
        <v>150</v>
      </c>
      <c r="J76">
        <v>70</v>
      </c>
      <c r="K76">
        <v>50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61</v>
      </c>
      <c r="S76">
        <v>427</v>
      </c>
      <c r="T76">
        <v>0</v>
      </c>
      <c r="V76">
        <v>0</v>
      </c>
      <c r="W76">
        <v>1665</v>
      </c>
    </row>
    <row r="77" spans="1:23" x14ac:dyDescent="0.25">
      <c r="H77">
        <v>400</v>
      </c>
    </row>
    <row r="78" spans="1:23" x14ac:dyDescent="0.25">
      <c r="A78">
        <v>36</v>
      </c>
      <c r="B78">
        <v>354</v>
      </c>
      <c r="C78" t="s">
        <v>165</v>
      </c>
      <c r="D78" t="s">
        <v>157</v>
      </c>
      <c r="E78" t="s">
        <v>166</v>
      </c>
      <c r="F78" t="s">
        <v>167</v>
      </c>
      <c r="G78" t="str">
        <f>"201405002288"</f>
        <v>201405002288</v>
      </c>
      <c r="H78" t="s">
        <v>168</v>
      </c>
      <c r="I78">
        <v>0</v>
      </c>
      <c r="J78">
        <v>70</v>
      </c>
      <c r="K78">
        <v>50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84</v>
      </c>
      <c r="S78">
        <v>588</v>
      </c>
      <c r="T78">
        <v>0</v>
      </c>
      <c r="V78">
        <v>0</v>
      </c>
      <c r="W78" t="s">
        <v>169</v>
      </c>
    </row>
    <row r="79" spans="1:23" x14ac:dyDescent="0.25">
      <c r="H79">
        <v>400</v>
      </c>
    </row>
    <row r="80" spans="1:23" x14ac:dyDescent="0.25">
      <c r="A80">
        <v>37</v>
      </c>
      <c r="B80">
        <v>882</v>
      </c>
      <c r="C80" t="s">
        <v>170</v>
      </c>
      <c r="D80" t="s">
        <v>171</v>
      </c>
      <c r="E80" t="s">
        <v>172</v>
      </c>
      <c r="F80" t="s">
        <v>173</v>
      </c>
      <c r="G80" t="str">
        <f>"200712001786"</f>
        <v>200712001786</v>
      </c>
      <c r="H80" t="s">
        <v>174</v>
      </c>
      <c r="I80">
        <v>0</v>
      </c>
      <c r="J80">
        <v>70</v>
      </c>
      <c r="K80">
        <v>30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84</v>
      </c>
      <c r="S80">
        <v>588</v>
      </c>
      <c r="T80">
        <v>0</v>
      </c>
      <c r="V80">
        <v>0</v>
      </c>
      <c r="W80" t="s">
        <v>175</v>
      </c>
    </row>
    <row r="81" spans="1:23" x14ac:dyDescent="0.25">
      <c r="H81">
        <v>400</v>
      </c>
    </row>
    <row r="82" spans="1:23" x14ac:dyDescent="0.25">
      <c r="A82">
        <v>38</v>
      </c>
      <c r="B82">
        <v>891</v>
      </c>
      <c r="C82" t="s">
        <v>176</v>
      </c>
      <c r="D82" t="s">
        <v>177</v>
      </c>
      <c r="E82" t="s">
        <v>39</v>
      </c>
      <c r="F82" t="s">
        <v>178</v>
      </c>
      <c r="G82" t="str">
        <f>"00210611"</f>
        <v>00210611</v>
      </c>
      <c r="H82">
        <v>1012</v>
      </c>
      <c r="I82">
        <v>0</v>
      </c>
      <c r="J82">
        <v>30</v>
      </c>
      <c r="K82">
        <v>30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84</v>
      </c>
      <c r="S82">
        <v>588</v>
      </c>
      <c r="T82">
        <v>0</v>
      </c>
      <c r="V82">
        <v>0</v>
      </c>
      <c r="W82">
        <v>1660</v>
      </c>
    </row>
    <row r="83" spans="1:23" x14ac:dyDescent="0.25">
      <c r="H83" t="s">
        <v>76</v>
      </c>
    </row>
    <row r="84" spans="1:23" x14ac:dyDescent="0.25">
      <c r="A84">
        <v>39</v>
      </c>
      <c r="B84">
        <v>192</v>
      </c>
      <c r="C84" t="s">
        <v>179</v>
      </c>
      <c r="D84" t="s">
        <v>180</v>
      </c>
      <c r="E84" t="s">
        <v>21</v>
      </c>
      <c r="F84" t="s">
        <v>181</v>
      </c>
      <c r="G84" t="str">
        <f>"201406000993"</f>
        <v>201406000993</v>
      </c>
      <c r="H84">
        <v>957</v>
      </c>
      <c r="I84">
        <v>0</v>
      </c>
      <c r="J84">
        <v>30</v>
      </c>
      <c r="K84">
        <v>70</v>
      </c>
      <c r="L84">
        <v>50</v>
      </c>
      <c r="M84">
        <v>0</v>
      </c>
      <c r="N84">
        <v>0</v>
      </c>
      <c r="O84">
        <v>0</v>
      </c>
      <c r="P84">
        <v>0</v>
      </c>
      <c r="Q84">
        <v>0</v>
      </c>
      <c r="R84">
        <v>79</v>
      </c>
      <c r="S84">
        <v>553</v>
      </c>
      <c r="T84">
        <v>0</v>
      </c>
      <c r="V84">
        <v>0</v>
      </c>
      <c r="W84">
        <v>1660</v>
      </c>
    </row>
    <row r="85" spans="1:23" x14ac:dyDescent="0.25">
      <c r="H85">
        <v>400</v>
      </c>
    </row>
    <row r="86" spans="1:23" x14ac:dyDescent="0.25">
      <c r="A86">
        <v>40</v>
      </c>
      <c r="B86">
        <v>1205</v>
      </c>
      <c r="C86" t="s">
        <v>182</v>
      </c>
      <c r="D86" t="s">
        <v>15</v>
      </c>
      <c r="E86" t="s">
        <v>59</v>
      </c>
      <c r="F86" t="s">
        <v>183</v>
      </c>
      <c r="G86" t="str">
        <f>"00153053"</f>
        <v>00153053</v>
      </c>
      <c r="H86" t="s">
        <v>184</v>
      </c>
      <c r="I86">
        <v>150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72</v>
      </c>
      <c r="S86">
        <v>504</v>
      </c>
      <c r="T86">
        <v>0</v>
      </c>
      <c r="V86">
        <v>0</v>
      </c>
      <c r="W86" t="s">
        <v>185</v>
      </c>
    </row>
    <row r="87" spans="1:23" x14ac:dyDescent="0.25">
      <c r="H87">
        <v>400</v>
      </c>
    </row>
    <row r="88" spans="1:23" x14ac:dyDescent="0.25">
      <c r="A88">
        <v>41</v>
      </c>
      <c r="B88">
        <v>1903</v>
      </c>
      <c r="C88" t="s">
        <v>186</v>
      </c>
      <c r="D88" t="s">
        <v>187</v>
      </c>
      <c r="E88" t="s">
        <v>15</v>
      </c>
      <c r="F88" t="s">
        <v>188</v>
      </c>
      <c r="G88" t="str">
        <f>"200712002728"</f>
        <v>200712002728</v>
      </c>
      <c r="H88" t="s">
        <v>189</v>
      </c>
      <c r="I88">
        <v>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81</v>
      </c>
      <c r="S88">
        <v>567</v>
      </c>
      <c r="T88">
        <v>0</v>
      </c>
      <c r="V88">
        <v>0</v>
      </c>
      <c r="W88" t="s">
        <v>190</v>
      </c>
    </row>
    <row r="89" spans="1:23" x14ac:dyDescent="0.25">
      <c r="H89">
        <v>400</v>
      </c>
    </row>
    <row r="90" spans="1:23" x14ac:dyDescent="0.25">
      <c r="A90">
        <v>42</v>
      </c>
      <c r="B90">
        <v>1069</v>
      </c>
      <c r="C90" t="s">
        <v>191</v>
      </c>
      <c r="D90" t="s">
        <v>192</v>
      </c>
      <c r="E90" t="s">
        <v>49</v>
      </c>
      <c r="F90" t="s">
        <v>193</v>
      </c>
      <c r="G90" t="str">
        <f>"00208676"</f>
        <v>00208676</v>
      </c>
      <c r="H90" t="s">
        <v>194</v>
      </c>
      <c r="I90">
        <v>0</v>
      </c>
      <c r="J90">
        <v>70</v>
      </c>
      <c r="K90">
        <v>30</v>
      </c>
      <c r="L90">
        <v>50</v>
      </c>
      <c r="M90">
        <v>0</v>
      </c>
      <c r="N90">
        <v>0</v>
      </c>
      <c r="O90">
        <v>0</v>
      </c>
      <c r="P90">
        <v>0</v>
      </c>
      <c r="Q90">
        <v>0</v>
      </c>
      <c r="R90">
        <v>78</v>
      </c>
      <c r="S90">
        <v>546</v>
      </c>
      <c r="T90">
        <v>0</v>
      </c>
      <c r="V90">
        <v>0</v>
      </c>
      <c r="W90" t="s">
        <v>190</v>
      </c>
    </row>
    <row r="91" spans="1:23" x14ac:dyDescent="0.25">
      <c r="H91">
        <v>400</v>
      </c>
    </row>
    <row r="92" spans="1:23" x14ac:dyDescent="0.25">
      <c r="A92">
        <v>43</v>
      </c>
      <c r="B92">
        <v>672</v>
      </c>
      <c r="C92" t="s">
        <v>146</v>
      </c>
      <c r="D92" t="s">
        <v>180</v>
      </c>
      <c r="E92" t="s">
        <v>195</v>
      </c>
      <c r="F92" t="s">
        <v>196</v>
      </c>
      <c r="G92" t="str">
        <f>"201401000268"</f>
        <v>201401000268</v>
      </c>
      <c r="H92">
        <v>869</v>
      </c>
      <c r="I92">
        <v>150</v>
      </c>
      <c r="J92">
        <v>50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84</v>
      </c>
      <c r="S92">
        <v>588</v>
      </c>
      <c r="T92">
        <v>0</v>
      </c>
      <c r="V92">
        <v>0</v>
      </c>
      <c r="W92">
        <v>1657</v>
      </c>
    </row>
    <row r="93" spans="1:23" x14ac:dyDescent="0.25">
      <c r="H93">
        <v>400</v>
      </c>
    </row>
    <row r="94" spans="1:23" x14ac:dyDescent="0.25">
      <c r="A94">
        <v>44</v>
      </c>
      <c r="B94">
        <v>149</v>
      </c>
      <c r="C94" t="s">
        <v>197</v>
      </c>
      <c r="D94" t="s">
        <v>44</v>
      </c>
      <c r="E94" t="s">
        <v>39</v>
      </c>
      <c r="F94" t="s">
        <v>198</v>
      </c>
      <c r="G94" t="str">
        <f>"200808000076"</f>
        <v>200808000076</v>
      </c>
      <c r="H94">
        <v>968</v>
      </c>
      <c r="I94">
        <v>0</v>
      </c>
      <c r="J94">
        <v>70</v>
      </c>
      <c r="K94">
        <v>0</v>
      </c>
      <c r="L94">
        <v>0</v>
      </c>
      <c r="M94">
        <v>30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0</v>
      </c>
      <c r="W94">
        <v>1656</v>
      </c>
    </row>
    <row r="95" spans="1:23" x14ac:dyDescent="0.25">
      <c r="H95">
        <v>400</v>
      </c>
    </row>
    <row r="96" spans="1:23" x14ac:dyDescent="0.25">
      <c r="A96">
        <v>45</v>
      </c>
      <c r="B96">
        <v>844</v>
      </c>
      <c r="C96" t="s">
        <v>199</v>
      </c>
      <c r="D96" t="s">
        <v>71</v>
      </c>
      <c r="E96" t="s">
        <v>200</v>
      </c>
      <c r="F96" t="s">
        <v>201</v>
      </c>
      <c r="G96" t="str">
        <f>"200802004445"</f>
        <v>200802004445</v>
      </c>
      <c r="H96" t="s">
        <v>120</v>
      </c>
      <c r="I96">
        <v>0</v>
      </c>
      <c r="J96">
        <v>50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84</v>
      </c>
      <c r="S96">
        <v>588</v>
      </c>
      <c r="T96">
        <v>0</v>
      </c>
      <c r="V96">
        <v>0</v>
      </c>
      <c r="W96" t="s">
        <v>202</v>
      </c>
    </row>
    <row r="97" spans="1:23" x14ac:dyDescent="0.25">
      <c r="H97">
        <v>400</v>
      </c>
    </row>
    <row r="98" spans="1:23" x14ac:dyDescent="0.25">
      <c r="A98">
        <v>46</v>
      </c>
      <c r="B98">
        <v>1739</v>
      </c>
      <c r="C98" t="s">
        <v>203</v>
      </c>
      <c r="D98" t="s">
        <v>204</v>
      </c>
      <c r="E98" t="s">
        <v>27</v>
      </c>
      <c r="F98" t="s">
        <v>205</v>
      </c>
      <c r="G98" t="str">
        <f>"201304001329"</f>
        <v>201304001329</v>
      </c>
      <c r="H98">
        <v>946</v>
      </c>
      <c r="I98">
        <v>0</v>
      </c>
      <c r="J98">
        <v>70</v>
      </c>
      <c r="K98">
        <v>0</v>
      </c>
      <c r="L98">
        <v>50</v>
      </c>
      <c r="M98">
        <v>0</v>
      </c>
      <c r="N98">
        <v>0</v>
      </c>
      <c r="O98">
        <v>0</v>
      </c>
      <c r="P98">
        <v>0</v>
      </c>
      <c r="Q98">
        <v>0</v>
      </c>
      <c r="R98">
        <v>84</v>
      </c>
      <c r="S98">
        <v>588</v>
      </c>
      <c r="T98">
        <v>0</v>
      </c>
      <c r="V98">
        <v>0</v>
      </c>
      <c r="W98">
        <v>1654</v>
      </c>
    </row>
    <row r="99" spans="1:23" x14ac:dyDescent="0.25">
      <c r="H99">
        <v>400</v>
      </c>
    </row>
    <row r="100" spans="1:23" x14ac:dyDescent="0.25">
      <c r="A100">
        <v>47</v>
      </c>
      <c r="B100">
        <v>469</v>
      </c>
      <c r="C100" t="s">
        <v>206</v>
      </c>
      <c r="D100" t="s">
        <v>192</v>
      </c>
      <c r="E100" t="s">
        <v>112</v>
      </c>
      <c r="F100" t="s">
        <v>207</v>
      </c>
      <c r="G100" t="str">
        <f>"201504000912"</f>
        <v>201504000912</v>
      </c>
      <c r="H100">
        <v>979</v>
      </c>
      <c r="I100">
        <v>0</v>
      </c>
      <c r="J100">
        <v>70</v>
      </c>
      <c r="K100">
        <v>30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82</v>
      </c>
      <c r="S100">
        <v>574</v>
      </c>
      <c r="T100">
        <v>0</v>
      </c>
      <c r="V100">
        <v>0</v>
      </c>
      <c r="W100">
        <v>1653</v>
      </c>
    </row>
    <row r="101" spans="1:23" x14ac:dyDescent="0.25">
      <c r="H101">
        <v>400</v>
      </c>
    </row>
    <row r="102" spans="1:23" x14ac:dyDescent="0.25">
      <c r="A102">
        <v>48</v>
      </c>
      <c r="B102">
        <v>1810</v>
      </c>
      <c r="C102" t="s">
        <v>208</v>
      </c>
      <c r="D102" t="s">
        <v>137</v>
      </c>
      <c r="E102" t="s">
        <v>209</v>
      </c>
      <c r="F102" t="s">
        <v>210</v>
      </c>
      <c r="G102" t="str">
        <f>"00214565"</f>
        <v>00214565</v>
      </c>
      <c r="H102">
        <v>924</v>
      </c>
      <c r="I102">
        <v>0</v>
      </c>
      <c r="J102">
        <v>70</v>
      </c>
      <c r="K102">
        <v>70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84</v>
      </c>
      <c r="S102">
        <v>588</v>
      </c>
      <c r="T102">
        <v>0</v>
      </c>
      <c r="V102">
        <v>0</v>
      </c>
      <c r="W102">
        <v>1652</v>
      </c>
    </row>
    <row r="103" spans="1:23" x14ac:dyDescent="0.25">
      <c r="H103">
        <v>400</v>
      </c>
    </row>
    <row r="104" spans="1:23" x14ac:dyDescent="0.25">
      <c r="A104">
        <v>49</v>
      </c>
      <c r="B104">
        <v>987</v>
      </c>
      <c r="C104" t="s">
        <v>211</v>
      </c>
      <c r="D104" t="s">
        <v>212</v>
      </c>
      <c r="E104" t="s">
        <v>213</v>
      </c>
      <c r="F104" t="s">
        <v>214</v>
      </c>
      <c r="G104" t="str">
        <f>"201404000005"</f>
        <v>201404000005</v>
      </c>
      <c r="H104" t="s">
        <v>120</v>
      </c>
      <c r="I104">
        <v>0</v>
      </c>
      <c r="J104">
        <v>70</v>
      </c>
      <c r="K104">
        <v>30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76</v>
      </c>
      <c r="S104">
        <v>532</v>
      </c>
      <c r="T104">
        <v>0</v>
      </c>
      <c r="V104">
        <v>0</v>
      </c>
      <c r="W104" t="s">
        <v>215</v>
      </c>
    </row>
    <row r="105" spans="1:23" x14ac:dyDescent="0.25">
      <c r="H105">
        <v>400</v>
      </c>
    </row>
    <row r="106" spans="1:23" x14ac:dyDescent="0.25">
      <c r="A106">
        <v>50</v>
      </c>
      <c r="B106">
        <v>509</v>
      </c>
      <c r="C106" t="s">
        <v>216</v>
      </c>
      <c r="D106" t="s">
        <v>200</v>
      </c>
      <c r="E106" t="s">
        <v>49</v>
      </c>
      <c r="F106" t="s">
        <v>217</v>
      </c>
      <c r="G106" t="str">
        <f>"00210339"</f>
        <v>00210339</v>
      </c>
      <c r="H106" t="s">
        <v>218</v>
      </c>
      <c r="I106">
        <v>150</v>
      </c>
      <c r="J106">
        <v>70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84</v>
      </c>
      <c r="S106">
        <v>588</v>
      </c>
      <c r="T106">
        <v>0</v>
      </c>
      <c r="V106">
        <v>0</v>
      </c>
      <c r="W106" t="s">
        <v>215</v>
      </c>
    </row>
    <row r="107" spans="1:23" x14ac:dyDescent="0.25">
      <c r="H107">
        <v>400</v>
      </c>
    </row>
    <row r="108" spans="1:23" x14ac:dyDescent="0.25">
      <c r="A108">
        <v>51</v>
      </c>
      <c r="B108">
        <v>1224</v>
      </c>
      <c r="C108" t="s">
        <v>219</v>
      </c>
      <c r="D108" t="s">
        <v>220</v>
      </c>
      <c r="E108" t="s">
        <v>15</v>
      </c>
      <c r="F108" t="s">
        <v>221</v>
      </c>
      <c r="G108" t="str">
        <f>"201504003537"</f>
        <v>201504003537</v>
      </c>
      <c r="H108" t="s">
        <v>222</v>
      </c>
      <c r="I108">
        <v>0</v>
      </c>
      <c r="J108">
        <v>70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79</v>
      </c>
      <c r="S108">
        <v>553</v>
      </c>
      <c r="T108">
        <v>0</v>
      </c>
      <c r="V108">
        <v>0</v>
      </c>
      <c r="W108" t="s">
        <v>223</v>
      </c>
    </row>
    <row r="109" spans="1:23" x14ac:dyDescent="0.25">
      <c r="H109">
        <v>400</v>
      </c>
    </row>
    <row r="110" spans="1:23" x14ac:dyDescent="0.25">
      <c r="A110">
        <v>52</v>
      </c>
      <c r="B110">
        <v>501</v>
      </c>
      <c r="C110" t="s">
        <v>224</v>
      </c>
      <c r="D110" t="s">
        <v>97</v>
      </c>
      <c r="E110" t="s">
        <v>209</v>
      </c>
      <c r="F110" t="s">
        <v>225</v>
      </c>
      <c r="G110" t="str">
        <f>"201304003755"</f>
        <v>201304003755</v>
      </c>
      <c r="H110" t="s">
        <v>226</v>
      </c>
      <c r="I110">
        <v>0</v>
      </c>
      <c r="J110">
        <v>70</v>
      </c>
      <c r="K110">
        <v>50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84</v>
      </c>
      <c r="S110">
        <v>588</v>
      </c>
      <c r="T110">
        <v>0</v>
      </c>
      <c r="V110">
        <v>0</v>
      </c>
      <c r="W110" t="s">
        <v>227</v>
      </c>
    </row>
    <row r="111" spans="1:23" x14ac:dyDescent="0.25">
      <c r="H111">
        <v>400</v>
      </c>
    </row>
    <row r="112" spans="1:23" x14ac:dyDescent="0.25">
      <c r="A112">
        <v>53</v>
      </c>
      <c r="B112">
        <v>1174</v>
      </c>
      <c r="C112" t="s">
        <v>228</v>
      </c>
      <c r="D112" t="s">
        <v>213</v>
      </c>
      <c r="E112" t="s">
        <v>229</v>
      </c>
      <c r="F112" t="s">
        <v>230</v>
      </c>
      <c r="G112" t="str">
        <f>"200802002810"</f>
        <v>200802002810</v>
      </c>
      <c r="H112">
        <v>990</v>
      </c>
      <c r="I112">
        <v>0</v>
      </c>
      <c r="J112">
        <v>70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84</v>
      </c>
      <c r="S112">
        <v>588</v>
      </c>
      <c r="T112">
        <v>0</v>
      </c>
      <c r="V112">
        <v>0</v>
      </c>
      <c r="W112">
        <v>1648</v>
      </c>
    </row>
    <row r="113" spans="1:23" x14ac:dyDescent="0.25">
      <c r="H113">
        <v>400</v>
      </c>
    </row>
    <row r="114" spans="1:23" x14ac:dyDescent="0.25">
      <c r="A114">
        <v>54</v>
      </c>
      <c r="B114">
        <v>1452</v>
      </c>
      <c r="C114" t="s">
        <v>231</v>
      </c>
      <c r="D114" t="s">
        <v>192</v>
      </c>
      <c r="E114" t="s">
        <v>106</v>
      </c>
      <c r="F114" t="s">
        <v>232</v>
      </c>
      <c r="G114" t="str">
        <f>"201402005014"</f>
        <v>201402005014</v>
      </c>
      <c r="H114">
        <v>880</v>
      </c>
      <c r="I114">
        <v>150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84</v>
      </c>
      <c r="S114">
        <v>588</v>
      </c>
      <c r="T114">
        <v>0</v>
      </c>
      <c r="V114">
        <v>0</v>
      </c>
      <c r="W114">
        <v>1648</v>
      </c>
    </row>
    <row r="115" spans="1:23" x14ac:dyDescent="0.25">
      <c r="H115">
        <v>400</v>
      </c>
    </row>
    <row r="116" spans="1:23" x14ac:dyDescent="0.25">
      <c r="A116">
        <v>55</v>
      </c>
      <c r="B116">
        <v>1150</v>
      </c>
      <c r="C116" t="s">
        <v>233</v>
      </c>
      <c r="D116" t="s">
        <v>111</v>
      </c>
      <c r="E116" t="s">
        <v>15</v>
      </c>
      <c r="F116" t="s">
        <v>234</v>
      </c>
      <c r="G116" t="str">
        <f>"201402012042"</f>
        <v>201402012042</v>
      </c>
      <c r="H116" t="s">
        <v>235</v>
      </c>
      <c r="I116">
        <v>0</v>
      </c>
      <c r="J116">
        <v>70</v>
      </c>
      <c r="K116">
        <v>30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74</v>
      </c>
      <c r="S116">
        <v>518</v>
      </c>
      <c r="T116">
        <v>0</v>
      </c>
      <c r="V116">
        <v>0</v>
      </c>
      <c r="W116" t="s">
        <v>236</v>
      </c>
    </row>
    <row r="117" spans="1:23" x14ac:dyDescent="0.25">
      <c r="H117">
        <v>400</v>
      </c>
    </row>
    <row r="118" spans="1:23" x14ac:dyDescent="0.25">
      <c r="A118">
        <v>56</v>
      </c>
      <c r="B118">
        <v>1251</v>
      </c>
      <c r="C118" t="s">
        <v>237</v>
      </c>
      <c r="D118" t="s">
        <v>26</v>
      </c>
      <c r="E118" t="s">
        <v>238</v>
      </c>
      <c r="F118" t="s">
        <v>239</v>
      </c>
      <c r="G118" t="str">
        <f>"201410002086"</f>
        <v>201410002086</v>
      </c>
      <c r="H118">
        <v>1023</v>
      </c>
      <c r="I118">
        <v>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84</v>
      </c>
      <c r="S118">
        <v>588</v>
      </c>
      <c r="T118">
        <v>0</v>
      </c>
      <c r="V118">
        <v>0</v>
      </c>
      <c r="W118">
        <v>1641</v>
      </c>
    </row>
    <row r="119" spans="1:23" x14ac:dyDescent="0.25">
      <c r="H119">
        <v>400</v>
      </c>
    </row>
    <row r="120" spans="1:23" x14ac:dyDescent="0.25">
      <c r="A120">
        <v>57</v>
      </c>
      <c r="B120">
        <v>1037</v>
      </c>
      <c r="C120" t="s">
        <v>240</v>
      </c>
      <c r="D120" t="s">
        <v>102</v>
      </c>
      <c r="E120" t="s">
        <v>241</v>
      </c>
      <c r="F120" t="s">
        <v>242</v>
      </c>
      <c r="G120" t="str">
        <f>"201401001942"</f>
        <v>201401001942</v>
      </c>
      <c r="H120">
        <v>990</v>
      </c>
      <c r="I120">
        <v>0</v>
      </c>
      <c r="J120">
        <v>70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83</v>
      </c>
      <c r="S120">
        <v>581</v>
      </c>
      <c r="T120">
        <v>0</v>
      </c>
      <c r="V120">
        <v>0</v>
      </c>
      <c r="W120">
        <v>1641</v>
      </c>
    </row>
    <row r="121" spans="1:23" x14ac:dyDescent="0.25">
      <c r="H121">
        <v>400</v>
      </c>
    </row>
    <row r="122" spans="1:23" x14ac:dyDescent="0.25">
      <c r="A122">
        <v>58</v>
      </c>
      <c r="B122">
        <v>1268</v>
      </c>
      <c r="C122" t="s">
        <v>243</v>
      </c>
      <c r="D122" t="s">
        <v>82</v>
      </c>
      <c r="E122" t="s">
        <v>71</v>
      </c>
      <c r="F122" t="s">
        <v>244</v>
      </c>
      <c r="G122" t="str">
        <f>"201304003560"</f>
        <v>201304003560</v>
      </c>
      <c r="H122" t="s">
        <v>41</v>
      </c>
      <c r="I122">
        <v>150</v>
      </c>
      <c r="J122">
        <v>70</v>
      </c>
      <c r="K122">
        <v>0</v>
      </c>
      <c r="L122">
        <v>0</v>
      </c>
      <c r="M122">
        <v>50</v>
      </c>
      <c r="N122">
        <v>0</v>
      </c>
      <c r="O122">
        <v>0</v>
      </c>
      <c r="P122">
        <v>0</v>
      </c>
      <c r="Q122">
        <v>0</v>
      </c>
      <c r="R122">
        <v>52</v>
      </c>
      <c r="S122">
        <v>364</v>
      </c>
      <c r="T122">
        <v>0</v>
      </c>
      <c r="V122">
        <v>0</v>
      </c>
      <c r="W122" t="s">
        <v>245</v>
      </c>
    </row>
    <row r="123" spans="1:23" x14ac:dyDescent="0.25">
      <c r="H123">
        <v>400</v>
      </c>
    </row>
    <row r="124" spans="1:23" x14ac:dyDescent="0.25">
      <c r="A124">
        <v>59</v>
      </c>
      <c r="B124">
        <v>105</v>
      </c>
      <c r="C124" t="s">
        <v>246</v>
      </c>
      <c r="D124" t="s">
        <v>247</v>
      </c>
      <c r="E124" t="s">
        <v>27</v>
      </c>
      <c r="F124" t="s">
        <v>248</v>
      </c>
      <c r="G124" t="str">
        <f>"201512000526"</f>
        <v>201512000526</v>
      </c>
      <c r="H124" t="s">
        <v>249</v>
      </c>
      <c r="I124">
        <v>150</v>
      </c>
      <c r="J124">
        <v>70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67</v>
      </c>
      <c r="S124">
        <v>469</v>
      </c>
      <c r="T124">
        <v>0</v>
      </c>
      <c r="V124">
        <v>0</v>
      </c>
      <c r="W124" t="s">
        <v>245</v>
      </c>
    </row>
    <row r="125" spans="1:23" x14ac:dyDescent="0.25">
      <c r="H125">
        <v>400</v>
      </c>
    </row>
    <row r="126" spans="1:23" x14ac:dyDescent="0.25">
      <c r="A126">
        <v>60</v>
      </c>
      <c r="B126">
        <v>409</v>
      </c>
      <c r="C126" t="s">
        <v>250</v>
      </c>
      <c r="D126" t="s">
        <v>251</v>
      </c>
      <c r="E126" t="s">
        <v>209</v>
      </c>
      <c r="F126" t="s">
        <v>252</v>
      </c>
      <c r="G126" t="str">
        <f>"00212832"</f>
        <v>00212832</v>
      </c>
      <c r="H126" t="s">
        <v>253</v>
      </c>
      <c r="I126">
        <v>0</v>
      </c>
      <c r="J126">
        <v>70</v>
      </c>
      <c r="K126">
        <v>30</v>
      </c>
      <c r="L126">
        <v>30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82</v>
      </c>
      <c r="S126">
        <v>574</v>
      </c>
      <c r="T126">
        <v>0</v>
      </c>
      <c r="V126">
        <v>0</v>
      </c>
      <c r="W126" t="s">
        <v>254</v>
      </c>
    </row>
    <row r="127" spans="1:23" x14ac:dyDescent="0.25">
      <c r="H127">
        <v>400</v>
      </c>
    </row>
    <row r="128" spans="1:23" x14ac:dyDescent="0.25">
      <c r="A128">
        <v>61</v>
      </c>
      <c r="B128">
        <v>4</v>
      </c>
      <c r="C128" t="s">
        <v>255</v>
      </c>
      <c r="D128" t="s">
        <v>187</v>
      </c>
      <c r="E128" t="s">
        <v>106</v>
      </c>
      <c r="F128" t="s">
        <v>256</v>
      </c>
      <c r="G128" t="str">
        <f>"201304001662"</f>
        <v>201304001662</v>
      </c>
      <c r="H128">
        <v>979</v>
      </c>
      <c r="I128">
        <v>0</v>
      </c>
      <c r="J128">
        <v>70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84</v>
      </c>
      <c r="S128">
        <v>588</v>
      </c>
      <c r="T128">
        <v>0</v>
      </c>
      <c r="V128">
        <v>0</v>
      </c>
      <c r="W128">
        <v>1637</v>
      </c>
    </row>
    <row r="129" spans="1:23" x14ac:dyDescent="0.25">
      <c r="H129">
        <v>400</v>
      </c>
    </row>
    <row r="130" spans="1:23" x14ac:dyDescent="0.25">
      <c r="A130">
        <v>62</v>
      </c>
      <c r="B130">
        <v>1187</v>
      </c>
      <c r="C130" t="s">
        <v>257</v>
      </c>
      <c r="D130" t="s">
        <v>187</v>
      </c>
      <c r="E130" t="s">
        <v>15</v>
      </c>
      <c r="F130" t="s">
        <v>258</v>
      </c>
      <c r="G130" t="str">
        <f>"00198634"</f>
        <v>00198634</v>
      </c>
      <c r="H130" t="s">
        <v>259</v>
      </c>
      <c r="I130">
        <v>150</v>
      </c>
      <c r="J130">
        <v>30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84</v>
      </c>
      <c r="S130">
        <v>588</v>
      </c>
      <c r="T130">
        <v>0</v>
      </c>
      <c r="V130">
        <v>0</v>
      </c>
      <c r="W130" t="s">
        <v>260</v>
      </c>
    </row>
    <row r="131" spans="1:23" x14ac:dyDescent="0.25">
      <c r="H131">
        <v>400</v>
      </c>
    </row>
    <row r="132" spans="1:23" x14ac:dyDescent="0.25">
      <c r="A132">
        <v>63</v>
      </c>
      <c r="B132">
        <v>553</v>
      </c>
      <c r="C132" t="s">
        <v>261</v>
      </c>
      <c r="D132" t="s">
        <v>262</v>
      </c>
      <c r="E132" t="s">
        <v>263</v>
      </c>
      <c r="F132" t="s">
        <v>264</v>
      </c>
      <c r="G132" t="str">
        <f>"00202323"</f>
        <v>00202323</v>
      </c>
      <c r="H132" t="s">
        <v>194</v>
      </c>
      <c r="I132">
        <v>150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70</v>
      </c>
      <c r="S132">
        <v>490</v>
      </c>
      <c r="T132">
        <v>0</v>
      </c>
      <c r="V132">
        <v>1</v>
      </c>
      <c r="W132" t="s">
        <v>265</v>
      </c>
    </row>
    <row r="133" spans="1:23" x14ac:dyDescent="0.25">
      <c r="H133">
        <v>400</v>
      </c>
    </row>
    <row r="134" spans="1:23" x14ac:dyDescent="0.25">
      <c r="A134">
        <v>64</v>
      </c>
      <c r="B134">
        <v>431</v>
      </c>
      <c r="C134" t="s">
        <v>266</v>
      </c>
      <c r="D134" t="s">
        <v>180</v>
      </c>
      <c r="E134" t="s">
        <v>158</v>
      </c>
      <c r="F134" t="s">
        <v>267</v>
      </c>
      <c r="G134" t="str">
        <f>"00167816"</f>
        <v>00167816</v>
      </c>
      <c r="H134">
        <v>1001</v>
      </c>
      <c r="I134">
        <v>150</v>
      </c>
      <c r="J134">
        <v>30</v>
      </c>
      <c r="K134">
        <v>30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60</v>
      </c>
      <c r="S134">
        <v>420</v>
      </c>
      <c r="T134">
        <v>0</v>
      </c>
      <c r="V134">
        <v>0</v>
      </c>
      <c r="W134">
        <v>1631</v>
      </c>
    </row>
    <row r="135" spans="1:23" x14ac:dyDescent="0.25">
      <c r="H135">
        <v>400</v>
      </c>
    </row>
    <row r="136" spans="1:23" x14ac:dyDescent="0.25">
      <c r="A136">
        <v>65</v>
      </c>
      <c r="B136">
        <v>1827</v>
      </c>
      <c r="C136" t="s">
        <v>268</v>
      </c>
      <c r="D136" t="s">
        <v>59</v>
      </c>
      <c r="E136" t="s">
        <v>269</v>
      </c>
      <c r="F136" t="s">
        <v>270</v>
      </c>
      <c r="G136" t="str">
        <f>"201506002115"</f>
        <v>201506002115</v>
      </c>
      <c r="H136">
        <v>968</v>
      </c>
      <c r="I136">
        <v>0</v>
      </c>
      <c r="J136">
        <v>70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84</v>
      </c>
      <c r="S136">
        <v>588</v>
      </c>
      <c r="T136">
        <v>0</v>
      </c>
      <c r="V136">
        <v>0</v>
      </c>
      <c r="W136">
        <v>1626</v>
      </c>
    </row>
    <row r="137" spans="1:23" x14ac:dyDescent="0.25">
      <c r="H137">
        <v>400</v>
      </c>
    </row>
    <row r="138" spans="1:23" x14ac:dyDescent="0.25">
      <c r="A138">
        <v>66</v>
      </c>
      <c r="B138">
        <v>1319</v>
      </c>
      <c r="C138" t="s">
        <v>271</v>
      </c>
      <c r="D138" t="s">
        <v>33</v>
      </c>
      <c r="E138" t="s">
        <v>272</v>
      </c>
      <c r="F138" t="s">
        <v>273</v>
      </c>
      <c r="G138" t="str">
        <f>"00217131"</f>
        <v>00217131</v>
      </c>
      <c r="H138">
        <v>935</v>
      </c>
      <c r="I138">
        <v>0</v>
      </c>
      <c r="J138">
        <v>70</v>
      </c>
      <c r="K138">
        <v>0</v>
      </c>
      <c r="L138">
        <v>0</v>
      </c>
      <c r="M138">
        <v>30</v>
      </c>
      <c r="N138">
        <v>0</v>
      </c>
      <c r="O138">
        <v>0</v>
      </c>
      <c r="P138">
        <v>0</v>
      </c>
      <c r="Q138">
        <v>0</v>
      </c>
      <c r="R138">
        <v>84</v>
      </c>
      <c r="S138">
        <v>588</v>
      </c>
      <c r="T138">
        <v>0</v>
      </c>
      <c r="V138">
        <v>0</v>
      </c>
      <c r="W138">
        <v>1623</v>
      </c>
    </row>
    <row r="139" spans="1:23" x14ac:dyDescent="0.25">
      <c r="H139">
        <v>400</v>
      </c>
    </row>
    <row r="140" spans="1:23" x14ac:dyDescent="0.25">
      <c r="A140">
        <v>67</v>
      </c>
      <c r="B140">
        <v>245</v>
      </c>
      <c r="C140" t="s">
        <v>274</v>
      </c>
      <c r="D140" t="s">
        <v>209</v>
      </c>
      <c r="E140" t="s">
        <v>27</v>
      </c>
      <c r="F140" t="s">
        <v>275</v>
      </c>
      <c r="G140" t="str">
        <f>"201304003358"</f>
        <v>201304003358</v>
      </c>
      <c r="H140" t="s">
        <v>194</v>
      </c>
      <c r="I140">
        <v>0</v>
      </c>
      <c r="J140">
        <v>70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84</v>
      </c>
      <c r="S140">
        <v>588</v>
      </c>
      <c r="T140">
        <v>0</v>
      </c>
      <c r="V140">
        <v>0</v>
      </c>
      <c r="W140" t="s">
        <v>276</v>
      </c>
    </row>
    <row r="141" spans="1:23" x14ac:dyDescent="0.25">
      <c r="H141">
        <v>400</v>
      </c>
    </row>
    <row r="142" spans="1:23" x14ac:dyDescent="0.25">
      <c r="A142">
        <v>68</v>
      </c>
      <c r="B142">
        <v>1106</v>
      </c>
      <c r="C142" t="s">
        <v>277</v>
      </c>
      <c r="D142" t="s">
        <v>180</v>
      </c>
      <c r="E142" t="s">
        <v>21</v>
      </c>
      <c r="F142" t="s">
        <v>278</v>
      </c>
      <c r="G142" t="str">
        <f>"201303000512"</f>
        <v>201303000512</v>
      </c>
      <c r="H142" t="s">
        <v>279</v>
      </c>
      <c r="I142">
        <v>0</v>
      </c>
      <c r="J142">
        <v>30</v>
      </c>
      <c r="K142">
        <v>0</v>
      </c>
      <c r="L142">
        <v>50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76</v>
      </c>
      <c r="S142">
        <v>532</v>
      </c>
      <c r="T142">
        <v>0</v>
      </c>
      <c r="V142">
        <v>0</v>
      </c>
      <c r="W142" t="s">
        <v>280</v>
      </c>
    </row>
    <row r="143" spans="1:23" x14ac:dyDescent="0.25">
      <c r="H143">
        <v>400</v>
      </c>
    </row>
    <row r="144" spans="1:23" x14ac:dyDescent="0.25">
      <c r="A144">
        <v>69</v>
      </c>
      <c r="B144">
        <v>1096</v>
      </c>
      <c r="C144" t="s">
        <v>281</v>
      </c>
      <c r="D144" t="s">
        <v>282</v>
      </c>
      <c r="E144" t="s">
        <v>283</v>
      </c>
      <c r="F144" t="s">
        <v>284</v>
      </c>
      <c r="G144" t="str">
        <f>"00215394"</f>
        <v>00215394</v>
      </c>
      <c r="H144" t="s">
        <v>285</v>
      </c>
      <c r="I144">
        <v>0</v>
      </c>
      <c r="J144">
        <v>70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84</v>
      </c>
      <c r="S144">
        <v>588</v>
      </c>
      <c r="T144">
        <v>0</v>
      </c>
      <c r="V144">
        <v>0</v>
      </c>
      <c r="W144" t="s">
        <v>286</v>
      </c>
    </row>
    <row r="145" spans="1:23" x14ac:dyDescent="0.25">
      <c r="H145">
        <v>400</v>
      </c>
    </row>
    <row r="146" spans="1:23" x14ac:dyDescent="0.25">
      <c r="A146">
        <v>70</v>
      </c>
      <c r="B146">
        <v>261</v>
      </c>
      <c r="C146" t="s">
        <v>287</v>
      </c>
      <c r="D146" t="s">
        <v>288</v>
      </c>
      <c r="E146" t="s">
        <v>87</v>
      </c>
      <c r="F146" t="s">
        <v>289</v>
      </c>
      <c r="G146" t="str">
        <f>"200802005423"</f>
        <v>200802005423</v>
      </c>
      <c r="H146" t="s">
        <v>285</v>
      </c>
      <c r="I146">
        <v>0</v>
      </c>
      <c r="J146">
        <v>70</v>
      </c>
      <c r="K146">
        <v>30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84</v>
      </c>
      <c r="S146">
        <v>588</v>
      </c>
      <c r="T146">
        <v>0</v>
      </c>
      <c r="V146">
        <v>0</v>
      </c>
      <c r="W146" t="s">
        <v>286</v>
      </c>
    </row>
    <row r="147" spans="1:23" x14ac:dyDescent="0.25">
      <c r="H147">
        <v>400</v>
      </c>
    </row>
    <row r="148" spans="1:23" x14ac:dyDescent="0.25">
      <c r="A148">
        <v>71</v>
      </c>
      <c r="B148">
        <v>84</v>
      </c>
      <c r="C148" t="s">
        <v>290</v>
      </c>
      <c r="D148" t="s">
        <v>180</v>
      </c>
      <c r="E148" t="s">
        <v>291</v>
      </c>
      <c r="F148" t="s">
        <v>292</v>
      </c>
      <c r="G148" t="str">
        <f>"00155646"</f>
        <v>00155646</v>
      </c>
      <c r="H148" t="s">
        <v>293</v>
      </c>
      <c r="I148">
        <v>150</v>
      </c>
      <c r="J148">
        <v>70</v>
      </c>
      <c r="K148">
        <v>30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61</v>
      </c>
      <c r="S148">
        <v>427</v>
      </c>
      <c r="T148">
        <v>0</v>
      </c>
      <c r="V148">
        <v>0</v>
      </c>
      <c r="W148" t="s">
        <v>294</v>
      </c>
    </row>
    <row r="149" spans="1:23" x14ac:dyDescent="0.25">
      <c r="H149">
        <v>400</v>
      </c>
    </row>
    <row r="150" spans="1:23" x14ac:dyDescent="0.25">
      <c r="A150">
        <v>72</v>
      </c>
      <c r="B150">
        <v>1910</v>
      </c>
      <c r="C150" t="s">
        <v>295</v>
      </c>
      <c r="D150" t="s">
        <v>49</v>
      </c>
      <c r="E150" t="s">
        <v>241</v>
      </c>
      <c r="F150" t="s">
        <v>296</v>
      </c>
      <c r="G150" t="str">
        <f>"00216385"</f>
        <v>00216385</v>
      </c>
      <c r="H150">
        <v>957</v>
      </c>
      <c r="I150">
        <v>0</v>
      </c>
      <c r="J150">
        <v>70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84</v>
      </c>
      <c r="S150">
        <v>588</v>
      </c>
      <c r="T150">
        <v>0</v>
      </c>
      <c r="V150">
        <v>0</v>
      </c>
      <c r="W150">
        <v>1615</v>
      </c>
    </row>
    <row r="151" spans="1:23" x14ac:dyDescent="0.25">
      <c r="H151">
        <v>400</v>
      </c>
    </row>
    <row r="152" spans="1:23" x14ac:dyDescent="0.25">
      <c r="A152">
        <v>73</v>
      </c>
      <c r="B152">
        <v>1882</v>
      </c>
      <c r="C152" t="s">
        <v>297</v>
      </c>
      <c r="D152" t="s">
        <v>298</v>
      </c>
      <c r="E152" t="s">
        <v>299</v>
      </c>
      <c r="F152" t="s">
        <v>300</v>
      </c>
      <c r="G152" t="str">
        <f>"201406007032"</f>
        <v>201406007032</v>
      </c>
      <c r="H152" t="s">
        <v>235</v>
      </c>
      <c r="I152">
        <v>0</v>
      </c>
      <c r="J152">
        <v>30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84</v>
      </c>
      <c r="S152">
        <v>588</v>
      </c>
      <c r="T152">
        <v>0</v>
      </c>
      <c r="V152">
        <v>0</v>
      </c>
      <c r="W152" t="s">
        <v>301</v>
      </c>
    </row>
    <row r="153" spans="1:23" x14ac:dyDescent="0.25">
      <c r="H153">
        <v>400</v>
      </c>
    </row>
    <row r="154" spans="1:23" x14ac:dyDescent="0.25">
      <c r="A154">
        <v>74</v>
      </c>
      <c r="B154">
        <v>3</v>
      </c>
      <c r="C154" t="s">
        <v>302</v>
      </c>
      <c r="D154" t="s">
        <v>303</v>
      </c>
      <c r="E154" t="s">
        <v>71</v>
      </c>
      <c r="F154" t="s">
        <v>304</v>
      </c>
      <c r="G154" t="str">
        <f>"201409001719"</f>
        <v>201409001719</v>
      </c>
      <c r="H154">
        <v>1001</v>
      </c>
      <c r="I154">
        <v>0</v>
      </c>
      <c r="J154">
        <v>30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83</v>
      </c>
      <c r="S154">
        <v>581</v>
      </c>
      <c r="T154">
        <v>0</v>
      </c>
      <c r="V154">
        <v>0</v>
      </c>
      <c r="W154">
        <v>1612</v>
      </c>
    </row>
    <row r="155" spans="1:23" x14ac:dyDescent="0.25">
      <c r="H155">
        <v>400</v>
      </c>
    </row>
    <row r="156" spans="1:23" x14ac:dyDescent="0.25">
      <c r="A156">
        <v>75</v>
      </c>
      <c r="B156">
        <v>57</v>
      </c>
      <c r="C156" t="s">
        <v>305</v>
      </c>
      <c r="D156" t="s">
        <v>102</v>
      </c>
      <c r="E156" t="s">
        <v>209</v>
      </c>
      <c r="F156" t="s">
        <v>306</v>
      </c>
      <c r="G156" t="str">
        <f>"201402011921"</f>
        <v>201402011921</v>
      </c>
      <c r="H156" t="s">
        <v>307</v>
      </c>
      <c r="I156">
        <v>150</v>
      </c>
      <c r="J156">
        <v>30</v>
      </c>
      <c r="K156">
        <v>30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83</v>
      </c>
      <c r="S156">
        <v>581</v>
      </c>
      <c r="T156">
        <v>0</v>
      </c>
      <c r="V156">
        <v>0</v>
      </c>
      <c r="W156" t="s">
        <v>308</v>
      </c>
    </row>
    <row r="157" spans="1:23" x14ac:dyDescent="0.25">
      <c r="H157">
        <v>400</v>
      </c>
    </row>
    <row r="158" spans="1:23" x14ac:dyDescent="0.25">
      <c r="A158">
        <v>76</v>
      </c>
      <c r="B158">
        <v>1133</v>
      </c>
      <c r="C158" t="s">
        <v>309</v>
      </c>
      <c r="D158" t="s">
        <v>125</v>
      </c>
      <c r="E158" t="s">
        <v>263</v>
      </c>
      <c r="F158" t="s">
        <v>310</v>
      </c>
      <c r="G158" t="str">
        <f>"201304003025"</f>
        <v>201304003025</v>
      </c>
      <c r="H158" t="s">
        <v>249</v>
      </c>
      <c r="I158">
        <v>0</v>
      </c>
      <c r="J158">
        <v>70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84</v>
      </c>
      <c r="S158">
        <v>588</v>
      </c>
      <c r="T158">
        <v>0</v>
      </c>
      <c r="V158">
        <v>0</v>
      </c>
      <c r="W158" t="s">
        <v>311</v>
      </c>
    </row>
    <row r="159" spans="1:23" x14ac:dyDescent="0.25">
      <c r="H159">
        <v>400</v>
      </c>
    </row>
    <row r="160" spans="1:23" x14ac:dyDescent="0.25">
      <c r="A160">
        <v>77</v>
      </c>
      <c r="B160">
        <v>1484</v>
      </c>
      <c r="C160" t="s">
        <v>312</v>
      </c>
      <c r="D160" t="s">
        <v>313</v>
      </c>
      <c r="E160" t="s">
        <v>163</v>
      </c>
      <c r="F160" t="s">
        <v>314</v>
      </c>
      <c r="G160" t="str">
        <f>"201304001019"</f>
        <v>201304001019</v>
      </c>
      <c r="H160" t="s">
        <v>41</v>
      </c>
      <c r="I160">
        <v>0</v>
      </c>
      <c r="J160">
        <v>70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76</v>
      </c>
      <c r="S160">
        <v>532</v>
      </c>
      <c r="T160">
        <v>0</v>
      </c>
      <c r="V160">
        <v>0</v>
      </c>
      <c r="W160" t="s">
        <v>315</v>
      </c>
    </row>
    <row r="161" spans="1:23" x14ac:dyDescent="0.25">
      <c r="H161">
        <v>400</v>
      </c>
    </row>
    <row r="162" spans="1:23" x14ac:dyDescent="0.25">
      <c r="A162">
        <v>78</v>
      </c>
      <c r="B162">
        <v>886</v>
      </c>
      <c r="C162" t="s">
        <v>316</v>
      </c>
      <c r="D162" t="s">
        <v>15</v>
      </c>
      <c r="E162" t="s">
        <v>209</v>
      </c>
      <c r="F162" t="s">
        <v>317</v>
      </c>
      <c r="G162" t="str">
        <f>"201304006311"</f>
        <v>201304006311</v>
      </c>
      <c r="H162" t="s">
        <v>226</v>
      </c>
      <c r="I162">
        <v>0</v>
      </c>
      <c r="J162">
        <v>30</v>
      </c>
      <c r="K162">
        <v>0</v>
      </c>
      <c r="L162">
        <v>50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84</v>
      </c>
      <c r="S162">
        <v>588</v>
      </c>
      <c r="T162">
        <v>0</v>
      </c>
      <c r="V162">
        <v>0</v>
      </c>
      <c r="W162" t="s">
        <v>315</v>
      </c>
    </row>
    <row r="163" spans="1:23" x14ac:dyDescent="0.25">
      <c r="H163">
        <v>400</v>
      </c>
    </row>
    <row r="164" spans="1:23" x14ac:dyDescent="0.25">
      <c r="A164">
        <v>79</v>
      </c>
      <c r="B164">
        <v>275</v>
      </c>
      <c r="C164" t="s">
        <v>318</v>
      </c>
      <c r="D164" t="s">
        <v>319</v>
      </c>
      <c r="E164" t="s">
        <v>71</v>
      </c>
      <c r="F164" t="s">
        <v>320</v>
      </c>
      <c r="G164" t="str">
        <f>"00149379"</f>
        <v>00149379</v>
      </c>
      <c r="H164">
        <v>990</v>
      </c>
      <c r="I164">
        <v>0</v>
      </c>
      <c r="J164">
        <v>30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84</v>
      </c>
      <c r="S164">
        <v>588</v>
      </c>
      <c r="T164">
        <v>0</v>
      </c>
      <c r="V164">
        <v>0</v>
      </c>
      <c r="W164">
        <v>1608</v>
      </c>
    </row>
    <row r="165" spans="1:23" x14ac:dyDescent="0.25">
      <c r="H165">
        <v>400</v>
      </c>
    </row>
    <row r="166" spans="1:23" x14ac:dyDescent="0.25">
      <c r="A166">
        <v>80</v>
      </c>
      <c r="B166">
        <v>486</v>
      </c>
      <c r="C166" t="s">
        <v>321</v>
      </c>
      <c r="D166" t="s">
        <v>322</v>
      </c>
      <c r="E166" t="s">
        <v>263</v>
      </c>
      <c r="F166" t="s">
        <v>323</v>
      </c>
      <c r="G166" t="str">
        <f>"201402004039"</f>
        <v>201402004039</v>
      </c>
      <c r="H166" t="s">
        <v>120</v>
      </c>
      <c r="I166">
        <v>150</v>
      </c>
      <c r="J166">
        <v>70</v>
      </c>
      <c r="K166">
        <v>30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48</v>
      </c>
      <c r="S166">
        <v>336</v>
      </c>
      <c r="T166">
        <v>0</v>
      </c>
      <c r="V166">
        <v>0</v>
      </c>
      <c r="W166" t="s">
        <v>324</v>
      </c>
    </row>
    <row r="167" spans="1:23" x14ac:dyDescent="0.25">
      <c r="H167">
        <v>400</v>
      </c>
    </row>
    <row r="168" spans="1:23" x14ac:dyDescent="0.25">
      <c r="A168">
        <v>81</v>
      </c>
      <c r="B168">
        <v>1151</v>
      </c>
      <c r="C168" t="s">
        <v>325</v>
      </c>
      <c r="D168" t="s">
        <v>326</v>
      </c>
      <c r="E168" t="s">
        <v>15</v>
      </c>
      <c r="F168" t="s">
        <v>327</v>
      </c>
      <c r="G168" t="str">
        <f>"201304001192"</f>
        <v>201304001192</v>
      </c>
      <c r="H168">
        <v>935</v>
      </c>
      <c r="I168">
        <v>0</v>
      </c>
      <c r="J168">
        <v>50</v>
      </c>
      <c r="K168">
        <v>30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84</v>
      </c>
      <c r="S168">
        <v>588</v>
      </c>
      <c r="T168">
        <v>0</v>
      </c>
      <c r="V168">
        <v>0</v>
      </c>
      <c r="W168">
        <v>1603</v>
      </c>
    </row>
    <row r="169" spans="1:23" x14ac:dyDescent="0.25">
      <c r="H169">
        <v>400</v>
      </c>
    </row>
    <row r="170" spans="1:23" x14ac:dyDescent="0.25">
      <c r="A170">
        <v>82</v>
      </c>
      <c r="B170">
        <v>1221</v>
      </c>
      <c r="C170" t="s">
        <v>328</v>
      </c>
      <c r="D170" t="s">
        <v>329</v>
      </c>
      <c r="E170" t="s">
        <v>71</v>
      </c>
      <c r="F170" t="s">
        <v>330</v>
      </c>
      <c r="G170" t="str">
        <f>"201409005535"</f>
        <v>201409005535</v>
      </c>
      <c r="H170">
        <v>1001</v>
      </c>
      <c r="I170">
        <v>150</v>
      </c>
      <c r="J170">
        <v>30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60</v>
      </c>
      <c r="S170">
        <v>420</v>
      </c>
      <c r="T170">
        <v>0</v>
      </c>
      <c r="V170">
        <v>0</v>
      </c>
      <c r="W170">
        <v>1601</v>
      </c>
    </row>
    <row r="171" spans="1:23" x14ac:dyDescent="0.25">
      <c r="H171">
        <v>400</v>
      </c>
    </row>
    <row r="172" spans="1:23" x14ac:dyDescent="0.25">
      <c r="A172">
        <v>83</v>
      </c>
      <c r="B172">
        <v>1681</v>
      </c>
      <c r="C172" t="s">
        <v>331</v>
      </c>
      <c r="D172" t="s">
        <v>332</v>
      </c>
      <c r="E172" t="s">
        <v>106</v>
      </c>
      <c r="F172" t="s">
        <v>333</v>
      </c>
      <c r="G172" t="str">
        <f>"00184170"</f>
        <v>00184170</v>
      </c>
      <c r="H172">
        <v>913</v>
      </c>
      <c r="I172">
        <v>0</v>
      </c>
      <c r="J172">
        <v>70</v>
      </c>
      <c r="K172">
        <v>30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84</v>
      </c>
      <c r="S172">
        <v>588</v>
      </c>
      <c r="T172">
        <v>0</v>
      </c>
      <c r="V172">
        <v>0</v>
      </c>
      <c r="W172">
        <v>1601</v>
      </c>
    </row>
    <row r="173" spans="1:23" x14ac:dyDescent="0.25">
      <c r="H173">
        <v>400</v>
      </c>
    </row>
    <row r="174" spans="1:23" x14ac:dyDescent="0.25">
      <c r="A174">
        <v>84</v>
      </c>
      <c r="B174">
        <v>964</v>
      </c>
      <c r="C174" t="s">
        <v>334</v>
      </c>
      <c r="D174" t="s">
        <v>187</v>
      </c>
      <c r="E174" t="s">
        <v>27</v>
      </c>
      <c r="F174" t="s">
        <v>335</v>
      </c>
      <c r="G174" t="str">
        <f>"201511034650"</f>
        <v>201511034650</v>
      </c>
      <c r="H174" t="s">
        <v>120</v>
      </c>
      <c r="I174">
        <v>0</v>
      </c>
      <c r="J174">
        <v>70</v>
      </c>
      <c r="K174">
        <v>30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69</v>
      </c>
      <c r="S174">
        <v>483</v>
      </c>
      <c r="T174">
        <v>0</v>
      </c>
      <c r="V174">
        <v>0</v>
      </c>
      <c r="W174" t="s">
        <v>336</v>
      </c>
    </row>
    <row r="175" spans="1:23" x14ac:dyDescent="0.25">
      <c r="H175">
        <v>400</v>
      </c>
    </row>
    <row r="176" spans="1:23" x14ac:dyDescent="0.25">
      <c r="A176">
        <v>85</v>
      </c>
      <c r="B176">
        <v>639</v>
      </c>
      <c r="C176" t="s">
        <v>337</v>
      </c>
      <c r="D176" t="s">
        <v>192</v>
      </c>
      <c r="E176" t="s">
        <v>131</v>
      </c>
      <c r="F176" t="s">
        <v>338</v>
      </c>
      <c r="G176" t="str">
        <f>"201409005421"</f>
        <v>201409005421</v>
      </c>
      <c r="H176">
        <v>990</v>
      </c>
      <c r="I176">
        <v>0</v>
      </c>
      <c r="J176">
        <v>70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77</v>
      </c>
      <c r="S176">
        <v>539</v>
      </c>
      <c r="T176">
        <v>0</v>
      </c>
      <c r="V176">
        <v>0</v>
      </c>
      <c r="W176">
        <v>1599</v>
      </c>
    </row>
    <row r="177" spans="1:23" x14ac:dyDescent="0.25">
      <c r="H177">
        <v>400</v>
      </c>
    </row>
    <row r="178" spans="1:23" x14ac:dyDescent="0.25">
      <c r="A178">
        <v>86</v>
      </c>
      <c r="B178">
        <v>1792</v>
      </c>
      <c r="C178" t="s">
        <v>339</v>
      </c>
      <c r="D178" t="s">
        <v>71</v>
      </c>
      <c r="E178" t="s">
        <v>15</v>
      </c>
      <c r="F178" t="s">
        <v>340</v>
      </c>
      <c r="G178" t="str">
        <f>"201406008781"</f>
        <v>201406008781</v>
      </c>
      <c r="H178" t="s">
        <v>226</v>
      </c>
      <c r="I178">
        <v>0</v>
      </c>
      <c r="J178">
        <v>70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84</v>
      </c>
      <c r="S178">
        <v>588</v>
      </c>
      <c r="T178">
        <v>0</v>
      </c>
      <c r="V178">
        <v>0</v>
      </c>
      <c r="W178" t="s">
        <v>341</v>
      </c>
    </row>
    <row r="179" spans="1:23" x14ac:dyDescent="0.25">
      <c r="H179">
        <v>400</v>
      </c>
    </row>
    <row r="180" spans="1:23" x14ac:dyDescent="0.25">
      <c r="A180">
        <v>87</v>
      </c>
      <c r="B180">
        <v>1092</v>
      </c>
      <c r="C180" t="s">
        <v>342</v>
      </c>
      <c r="D180" t="s">
        <v>343</v>
      </c>
      <c r="E180" t="s">
        <v>163</v>
      </c>
      <c r="F180" t="s">
        <v>344</v>
      </c>
      <c r="G180" t="str">
        <f>"201510001007"</f>
        <v>201510001007</v>
      </c>
      <c r="H180">
        <v>990</v>
      </c>
      <c r="I180">
        <v>150</v>
      </c>
      <c r="J180">
        <v>30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61</v>
      </c>
      <c r="S180">
        <v>427</v>
      </c>
      <c r="T180">
        <v>0</v>
      </c>
      <c r="V180">
        <v>0</v>
      </c>
      <c r="W180">
        <v>1597</v>
      </c>
    </row>
    <row r="181" spans="1:23" x14ac:dyDescent="0.25">
      <c r="H181">
        <v>400</v>
      </c>
    </row>
    <row r="182" spans="1:23" x14ac:dyDescent="0.25">
      <c r="A182">
        <v>88</v>
      </c>
      <c r="B182">
        <v>847</v>
      </c>
      <c r="C182" t="s">
        <v>345</v>
      </c>
      <c r="D182" t="s">
        <v>346</v>
      </c>
      <c r="E182" t="s">
        <v>21</v>
      </c>
      <c r="F182" t="s">
        <v>347</v>
      </c>
      <c r="G182" t="str">
        <f>"00163123"</f>
        <v>00163123</v>
      </c>
      <c r="H182">
        <v>979</v>
      </c>
      <c r="I182">
        <v>0</v>
      </c>
      <c r="J182">
        <v>30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84</v>
      </c>
      <c r="S182">
        <v>588</v>
      </c>
      <c r="T182">
        <v>0</v>
      </c>
      <c r="V182">
        <v>0</v>
      </c>
      <c r="W182">
        <v>1597</v>
      </c>
    </row>
    <row r="183" spans="1:23" x14ac:dyDescent="0.25">
      <c r="H183">
        <v>400</v>
      </c>
    </row>
    <row r="184" spans="1:23" x14ac:dyDescent="0.25">
      <c r="A184">
        <v>89</v>
      </c>
      <c r="B184">
        <v>310</v>
      </c>
      <c r="C184" t="s">
        <v>348</v>
      </c>
      <c r="D184" t="s">
        <v>78</v>
      </c>
      <c r="E184" t="s">
        <v>71</v>
      </c>
      <c r="F184" t="s">
        <v>349</v>
      </c>
      <c r="G184" t="str">
        <f>"201511033713"</f>
        <v>201511033713</v>
      </c>
      <c r="H184">
        <v>979</v>
      </c>
      <c r="I184">
        <v>0</v>
      </c>
      <c r="J184">
        <v>30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84</v>
      </c>
      <c r="S184">
        <v>588</v>
      </c>
      <c r="T184">
        <v>0</v>
      </c>
      <c r="V184">
        <v>0</v>
      </c>
      <c r="W184">
        <v>1597</v>
      </c>
    </row>
    <row r="185" spans="1:23" x14ac:dyDescent="0.25">
      <c r="H185">
        <v>400</v>
      </c>
    </row>
    <row r="186" spans="1:23" x14ac:dyDescent="0.25">
      <c r="A186">
        <v>90</v>
      </c>
      <c r="B186">
        <v>758</v>
      </c>
      <c r="C186" t="s">
        <v>350</v>
      </c>
      <c r="D186" t="s">
        <v>313</v>
      </c>
      <c r="E186" t="s">
        <v>154</v>
      </c>
      <c r="F186" t="s">
        <v>351</v>
      </c>
      <c r="G186" t="str">
        <f>"00194746"</f>
        <v>00194746</v>
      </c>
      <c r="H186" t="s">
        <v>352</v>
      </c>
      <c r="I186">
        <v>150</v>
      </c>
      <c r="J186">
        <v>30</v>
      </c>
      <c r="K186">
        <v>30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84</v>
      </c>
      <c r="S186">
        <v>588</v>
      </c>
      <c r="T186">
        <v>0</v>
      </c>
      <c r="V186">
        <v>0</v>
      </c>
      <c r="W186" t="s">
        <v>353</v>
      </c>
    </row>
    <row r="187" spans="1:23" x14ac:dyDescent="0.25">
      <c r="H187">
        <v>400</v>
      </c>
    </row>
    <row r="188" spans="1:23" x14ac:dyDescent="0.25">
      <c r="A188">
        <v>91</v>
      </c>
      <c r="B188">
        <v>429</v>
      </c>
      <c r="C188" t="s">
        <v>354</v>
      </c>
      <c r="D188" t="s">
        <v>21</v>
      </c>
      <c r="E188" t="s">
        <v>27</v>
      </c>
      <c r="F188" t="s">
        <v>355</v>
      </c>
      <c r="G188" t="str">
        <f>"00203403"</f>
        <v>00203403</v>
      </c>
      <c r="H188" t="s">
        <v>356</v>
      </c>
      <c r="I188">
        <v>150</v>
      </c>
      <c r="J188">
        <v>70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84</v>
      </c>
      <c r="S188">
        <v>588</v>
      </c>
      <c r="T188">
        <v>0</v>
      </c>
      <c r="V188">
        <v>0</v>
      </c>
      <c r="W188" t="s">
        <v>357</v>
      </c>
    </row>
    <row r="189" spans="1:23" x14ac:dyDescent="0.25">
      <c r="H189">
        <v>400</v>
      </c>
    </row>
    <row r="190" spans="1:23" x14ac:dyDescent="0.25">
      <c r="A190">
        <v>92</v>
      </c>
      <c r="B190">
        <v>1628</v>
      </c>
      <c r="C190" t="s">
        <v>358</v>
      </c>
      <c r="D190" t="s">
        <v>359</v>
      </c>
      <c r="E190" t="s">
        <v>360</v>
      </c>
      <c r="F190" t="s">
        <v>361</v>
      </c>
      <c r="G190" t="str">
        <f>"00197168"</f>
        <v>00197168</v>
      </c>
      <c r="H190">
        <v>935</v>
      </c>
      <c r="I190">
        <v>0</v>
      </c>
      <c r="J190">
        <v>70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84</v>
      </c>
      <c r="S190">
        <v>588</v>
      </c>
      <c r="T190">
        <v>0</v>
      </c>
      <c r="V190">
        <v>0</v>
      </c>
      <c r="W190">
        <v>1593</v>
      </c>
    </row>
    <row r="191" spans="1:23" x14ac:dyDescent="0.25">
      <c r="H191">
        <v>400</v>
      </c>
    </row>
    <row r="192" spans="1:23" x14ac:dyDescent="0.25">
      <c r="A192">
        <v>93</v>
      </c>
      <c r="B192">
        <v>820</v>
      </c>
      <c r="C192" t="s">
        <v>362</v>
      </c>
      <c r="D192" t="s">
        <v>363</v>
      </c>
      <c r="E192" t="s">
        <v>71</v>
      </c>
      <c r="F192" t="s">
        <v>364</v>
      </c>
      <c r="G192" t="str">
        <f>"00021185"</f>
        <v>00021185</v>
      </c>
      <c r="H192" t="s">
        <v>226</v>
      </c>
      <c r="I192">
        <v>0</v>
      </c>
      <c r="J192">
        <v>70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83</v>
      </c>
      <c r="S192">
        <v>581</v>
      </c>
      <c r="T192">
        <v>0</v>
      </c>
      <c r="V192">
        <v>0</v>
      </c>
      <c r="W192" t="s">
        <v>365</v>
      </c>
    </row>
    <row r="193" spans="1:23" x14ac:dyDescent="0.25">
      <c r="H193">
        <v>400</v>
      </c>
    </row>
    <row r="194" spans="1:23" x14ac:dyDescent="0.25">
      <c r="A194">
        <v>94</v>
      </c>
      <c r="B194">
        <v>1333</v>
      </c>
      <c r="C194" t="s">
        <v>366</v>
      </c>
      <c r="D194" t="s">
        <v>209</v>
      </c>
      <c r="E194" t="s">
        <v>106</v>
      </c>
      <c r="F194" t="s">
        <v>367</v>
      </c>
      <c r="G194" t="str">
        <f>"00217364"</f>
        <v>00217364</v>
      </c>
      <c r="H194">
        <v>1023</v>
      </c>
      <c r="I194">
        <v>0</v>
      </c>
      <c r="J194">
        <v>70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71</v>
      </c>
      <c r="S194">
        <v>497</v>
      </c>
      <c r="T194">
        <v>0</v>
      </c>
      <c r="V194">
        <v>1</v>
      </c>
      <c r="W194">
        <v>1590</v>
      </c>
    </row>
    <row r="195" spans="1:23" x14ac:dyDescent="0.25">
      <c r="H195">
        <v>400</v>
      </c>
    </row>
    <row r="196" spans="1:23" x14ac:dyDescent="0.25">
      <c r="A196">
        <v>95</v>
      </c>
      <c r="B196">
        <v>604</v>
      </c>
      <c r="C196" t="s">
        <v>368</v>
      </c>
      <c r="D196" t="s">
        <v>49</v>
      </c>
      <c r="E196" t="s">
        <v>369</v>
      </c>
      <c r="F196" t="s">
        <v>370</v>
      </c>
      <c r="G196" t="str">
        <f>"201410003525"</f>
        <v>201410003525</v>
      </c>
      <c r="H196" t="s">
        <v>371</v>
      </c>
      <c r="I196">
        <v>0</v>
      </c>
      <c r="J196">
        <v>30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84</v>
      </c>
      <c r="S196">
        <v>588</v>
      </c>
      <c r="T196">
        <v>0</v>
      </c>
      <c r="V196">
        <v>1</v>
      </c>
      <c r="W196" t="s">
        <v>372</v>
      </c>
    </row>
    <row r="197" spans="1:23" x14ac:dyDescent="0.25">
      <c r="H197">
        <v>400</v>
      </c>
    </row>
    <row r="198" spans="1:23" x14ac:dyDescent="0.25">
      <c r="A198">
        <v>96</v>
      </c>
      <c r="B198">
        <v>274</v>
      </c>
      <c r="C198" t="s">
        <v>373</v>
      </c>
      <c r="D198" t="s">
        <v>49</v>
      </c>
      <c r="E198" t="s">
        <v>299</v>
      </c>
      <c r="F198" t="s">
        <v>374</v>
      </c>
      <c r="G198" t="str">
        <f>"201511020530"</f>
        <v>201511020530</v>
      </c>
      <c r="H198">
        <v>781</v>
      </c>
      <c r="I198">
        <v>150</v>
      </c>
      <c r="J198">
        <v>70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84</v>
      </c>
      <c r="S198">
        <v>588</v>
      </c>
      <c r="T198">
        <v>0</v>
      </c>
      <c r="V198">
        <v>0</v>
      </c>
      <c r="W198">
        <v>1589</v>
      </c>
    </row>
    <row r="199" spans="1:23" x14ac:dyDescent="0.25">
      <c r="H199">
        <v>400</v>
      </c>
    </row>
    <row r="200" spans="1:23" x14ac:dyDescent="0.25">
      <c r="A200">
        <v>97</v>
      </c>
      <c r="B200">
        <v>933</v>
      </c>
      <c r="C200" t="s">
        <v>375</v>
      </c>
      <c r="D200" t="s">
        <v>376</v>
      </c>
      <c r="E200" t="s">
        <v>21</v>
      </c>
      <c r="F200" t="s">
        <v>377</v>
      </c>
      <c r="G200" t="str">
        <f>"00163684"</f>
        <v>00163684</v>
      </c>
      <c r="H200" t="s">
        <v>378</v>
      </c>
      <c r="I200">
        <v>0</v>
      </c>
      <c r="J200">
        <v>30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84</v>
      </c>
      <c r="S200">
        <v>588</v>
      </c>
      <c r="T200">
        <v>0</v>
      </c>
      <c r="V200">
        <v>0</v>
      </c>
      <c r="W200" t="s">
        <v>379</v>
      </c>
    </row>
    <row r="201" spans="1:23" x14ac:dyDescent="0.25">
      <c r="H201">
        <v>400</v>
      </c>
    </row>
    <row r="202" spans="1:23" x14ac:dyDescent="0.25">
      <c r="A202">
        <v>98</v>
      </c>
      <c r="B202">
        <v>423</v>
      </c>
      <c r="C202" t="s">
        <v>380</v>
      </c>
      <c r="D202" t="s">
        <v>49</v>
      </c>
      <c r="E202" t="s">
        <v>15</v>
      </c>
      <c r="F202" t="s">
        <v>381</v>
      </c>
      <c r="G202" t="str">
        <f>"00009720"</f>
        <v>00009720</v>
      </c>
      <c r="H202" t="s">
        <v>307</v>
      </c>
      <c r="I202">
        <v>150</v>
      </c>
      <c r="J202">
        <v>30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84</v>
      </c>
      <c r="S202">
        <v>588</v>
      </c>
      <c r="T202">
        <v>0</v>
      </c>
      <c r="V202">
        <v>0</v>
      </c>
      <c r="W202" t="s">
        <v>382</v>
      </c>
    </row>
    <row r="203" spans="1:23" x14ac:dyDescent="0.25">
      <c r="H203">
        <v>400</v>
      </c>
    </row>
    <row r="204" spans="1:23" x14ac:dyDescent="0.25">
      <c r="A204">
        <v>99</v>
      </c>
      <c r="B204">
        <v>1014</v>
      </c>
      <c r="C204" t="s">
        <v>383</v>
      </c>
      <c r="D204" t="s">
        <v>241</v>
      </c>
      <c r="E204" t="s">
        <v>209</v>
      </c>
      <c r="F204" t="s">
        <v>384</v>
      </c>
      <c r="G204" t="str">
        <f>"201406015145"</f>
        <v>201406015145</v>
      </c>
      <c r="H204" t="s">
        <v>385</v>
      </c>
      <c r="I204">
        <v>0</v>
      </c>
      <c r="J204">
        <v>70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84</v>
      </c>
      <c r="S204">
        <v>588</v>
      </c>
      <c r="T204">
        <v>0</v>
      </c>
      <c r="V204">
        <v>0</v>
      </c>
      <c r="W204" t="s">
        <v>386</v>
      </c>
    </row>
    <row r="205" spans="1:23" x14ac:dyDescent="0.25">
      <c r="H205" t="s">
        <v>76</v>
      </c>
    </row>
    <row r="206" spans="1:23" x14ac:dyDescent="0.25">
      <c r="A206">
        <v>100</v>
      </c>
      <c r="B206">
        <v>528</v>
      </c>
      <c r="C206" t="s">
        <v>387</v>
      </c>
      <c r="D206" t="s">
        <v>388</v>
      </c>
      <c r="E206" t="s">
        <v>241</v>
      </c>
      <c r="F206" t="s">
        <v>389</v>
      </c>
      <c r="G206" t="str">
        <f>"201406002739"</f>
        <v>201406002739</v>
      </c>
      <c r="H206">
        <v>1012</v>
      </c>
      <c r="I206">
        <v>0</v>
      </c>
      <c r="J206">
        <v>70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72</v>
      </c>
      <c r="S206">
        <v>504</v>
      </c>
      <c r="T206">
        <v>0</v>
      </c>
      <c r="V206">
        <v>0</v>
      </c>
      <c r="W206">
        <v>1586</v>
      </c>
    </row>
    <row r="207" spans="1:23" x14ac:dyDescent="0.25">
      <c r="H207">
        <v>400</v>
      </c>
    </row>
    <row r="208" spans="1:23" x14ac:dyDescent="0.25">
      <c r="A208">
        <v>101</v>
      </c>
      <c r="B208">
        <v>953</v>
      </c>
      <c r="C208" t="s">
        <v>390</v>
      </c>
      <c r="D208" t="s">
        <v>157</v>
      </c>
      <c r="E208" t="s">
        <v>82</v>
      </c>
      <c r="F208" t="s">
        <v>391</v>
      </c>
      <c r="G208" t="str">
        <f>"200910000699"</f>
        <v>200910000699</v>
      </c>
      <c r="H208">
        <v>968</v>
      </c>
      <c r="I208">
        <v>0</v>
      </c>
      <c r="J208">
        <v>30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84</v>
      </c>
      <c r="S208">
        <v>588</v>
      </c>
      <c r="T208">
        <v>0</v>
      </c>
      <c r="V208">
        <v>0</v>
      </c>
      <c r="W208">
        <v>1586</v>
      </c>
    </row>
    <row r="209" spans="1:23" x14ac:dyDescent="0.25">
      <c r="H209">
        <v>400</v>
      </c>
    </row>
    <row r="210" spans="1:23" x14ac:dyDescent="0.25">
      <c r="A210">
        <v>102</v>
      </c>
      <c r="B210">
        <v>1181</v>
      </c>
      <c r="C210" t="s">
        <v>392</v>
      </c>
      <c r="D210" t="s">
        <v>27</v>
      </c>
      <c r="E210" t="s">
        <v>15</v>
      </c>
      <c r="F210" t="s">
        <v>393</v>
      </c>
      <c r="G210" t="str">
        <f>"201304005862"</f>
        <v>201304005862</v>
      </c>
      <c r="H210" t="s">
        <v>394</v>
      </c>
      <c r="I210">
        <v>0</v>
      </c>
      <c r="J210">
        <v>70</v>
      </c>
      <c r="K210">
        <v>30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84</v>
      </c>
      <c r="S210">
        <v>588</v>
      </c>
      <c r="T210">
        <v>0</v>
      </c>
      <c r="V210">
        <v>0</v>
      </c>
      <c r="W210" t="s">
        <v>395</v>
      </c>
    </row>
    <row r="211" spans="1:23" x14ac:dyDescent="0.25">
      <c r="H211">
        <v>400</v>
      </c>
    </row>
    <row r="212" spans="1:23" x14ac:dyDescent="0.25">
      <c r="A212">
        <v>103</v>
      </c>
      <c r="B212">
        <v>1294</v>
      </c>
      <c r="C212" t="s">
        <v>396</v>
      </c>
      <c r="D212" t="s">
        <v>102</v>
      </c>
      <c r="E212" t="s">
        <v>71</v>
      </c>
      <c r="F212" t="s">
        <v>397</v>
      </c>
      <c r="G212" t="str">
        <f>"00216537"</f>
        <v>00216537</v>
      </c>
      <c r="H212">
        <v>935</v>
      </c>
      <c r="I212">
        <v>0</v>
      </c>
      <c r="J212">
        <v>30</v>
      </c>
      <c r="K212">
        <v>30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84</v>
      </c>
      <c r="S212">
        <v>588</v>
      </c>
      <c r="T212">
        <v>0</v>
      </c>
      <c r="V212">
        <v>0</v>
      </c>
      <c r="W212">
        <v>1583</v>
      </c>
    </row>
    <row r="213" spans="1:23" x14ac:dyDescent="0.25">
      <c r="H213">
        <v>400</v>
      </c>
    </row>
    <row r="214" spans="1:23" x14ac:dyDescent="0.25">
      <c r="A214">
        <v>104</v>
      </c>
      <c r="B214">
        <v>1367</v>
      </c>
      <c r="C214" t="s">
        <v>398</v>
      </c>
      <c r="D214" t="s">
        <v>180</v>
      </c>
      <c r="E214" t="s">
        <v>163</v>
      </c>
      <c r="F214" t="s">
        <v>399</v>
      </c>
      <c r="G214" t="str">
        <f>"00026882"</f>
        <v>00026882</v>
      </c>
      <c r="H214">
        <v>968</v>
      </c>
      <c r="I214">
        <v>150</v>
      </c>
      <c r="J214">
        <v>30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62</v>
      </c>
      <c r="S214">
        <v>434</v>
      </c>
      <c r="T214">
        <v>0</v>
      </c>
      <c r="V214">
        <v>0</v>
      </c>
      <c r="W214">
        <v>1582</v>
      </c>
    </row>
    <row r="215" spans="1:23" x14ac:dyDescent="0.25">
      <c r="H215">
        <v>400</v>
      </c>
    </row>
    <row r="216" spans="1:23" x14ac:dyDescent="0.25">
      <c r="A216">
        <v>105</v>
      </c>
      <c r="B216">
        <v>511</v>
      </c>
      <c r="C216" t="s">
        <v>400</v>
      </c>
      <c r="D216" t="s">
        <v>401</v>
      </c>
      <c r="E216" t="s">
        <v>52</v>
      </c>
      <c r="F216" t="s">
        <v>402</v>
      </c>
      <c r="G216" t="str">
        <f>"00217370"</f>
        <v>00217370</v>
      </c>
      <c r="H216">
        <v>924</v>
      </c>
      <c r="I216">
        <v>0</v>
      </c>
      <c r="J216">
        <v>70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84</v>
      </c>
      <c r="S216">
        <v>588</v>
      </c>
      <c r="T216">
        <v>0</v>
      </c>
      <c r="V216">
        <v>0</v>
      </c>
      <c r="W216">
        <v>1582</v>
      </c>
    </row>
    <row r="217" spans="1:23" x14ac:dyDescent="0.25">
      <c r="H217">
        <v>400</v>
      </c>
    </row>
    <row r="218" spans="1:23" x14ac:dyDescent="0.25">
      <c r="A218">
        <v>106</v>
      </c>
      <c r="B218">
        <v>1732</v>
      </c>
      <c r="C218" t="s">
        <v>403</v>
      </c>
      <c r="D218" t="s">
        <v>404</v>
      </c>
      <c r="E218" t="s">
        <v>209</v>
      </c>
      <c r="F218" t="s">
        <v>405</v>
      </c>
      <c r="G218" t="str">
        <f>"201512000789"</f>
        <v>201512000789</v>
      </c>
      <c r="H218">
        <v>924</v>
      </c>
      <c r="I218">
        <v>0</v>
      </c>
      <c r="J218">
        <v>70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84</v>
      </c>
      <c r="S218">
        <v>588</v>
      </c>
      <c r="T218">
        <v>0</v>
      </c>
      <c r="V218">
        <v>0</v>
      </c>
      <c r="W218">
        <v>1582</v>
      </c>
    </row>
    <row r="219" spans="1:23" x14ac:dyDescent="0.25">
      <c r="H219">
        <v>400</v>
      </c>
    </row>
    <row r="220" spans="1:23" x14ac:dyDescent="0.25">
      <c r="A220">
        <v>107</v>
      </c>
      <c r="B220">
        <v>662</v>
      </c>
      <c r="C220" t="s">
        <v>406</v>
      </c>
      <c r="D220" t="s">
        <v>200</v>
      </c>
      <c r="E220" t="s">
        <v>49</v>
      </c>
      <c r="F220" t="s">
        <v>407</v>
      </c>
      <c r="G220" t="str">
        <f>"00214669"</f>
        <v>00214669</v>
      </c>
      <c r="H220">
        <v>814</v>
      </c>
      <c r="I220">
        <v>150</v>
      </c>
      <c r="J220">
        <v>30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84</v>
      </c>
      <c r="S220">
        <v>588</v>
      </c>
      <c r="T220">
        <v>0</v>
      </c>
      <c r="V220">
        <v>0</v>
      </c>
      <c r="W220">
        <v>1582</v>
      </c>
    </row>
    <row r="221" spans="1:23" x14ac:dyDescent="0.25">
      <c r="H221">
        <v>400</v>
      </c>
    </row>
    <row r="222" spans="1:23" x14ac:dyDescent="0.25">
      <c r="A222">
        <v>108</v>
      </c>
      <c r="B222">
        <v>618</v>
      </c>
      <c r="C222" t="s">
        <v>96</v>
      </c>
      <c r="D222" t="s">
        <v>125</v>
      </c>
      <c r="E222" t="s">
        <v>408</v>
      </c>
      <c r="F222" t="s">
        <v>409</v>
      </c>
      <c r="G222" t="str">
        <f>"200712002262"</f>
        <v>200712002262</v>
      </c>
      <c r="H222" t="s">
        <v>410</v>
      </c>
      <c r="I222">
        <v>0</v>
      </c>
      <c r="J222">
        <v>70</v>
      </c>
      <c r="K222">
        <v>50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68</v>
      </c>
      <c r="S222">
        <v>476</v>
      </c>
      <c r="T222">
        <v>0</v>
      </c>
      <c r="V222">
        <v>0</v>
      </c>
      <c r="W222" t="s">
        <v>411</v>
      </c>
    </row>
    <row r="223" spans="1:23" x14ac:dyDescent="0.25">
      <c r="H223">
        <v>400</v>
      </c>
    </row>
    <row r="224" spans="1:23" x14ac:dyDescent="0.25">
      <c r="A224">
        <v>109</v>
      </c>
      <c r="B224">
        <v>1397</v>
      </c>
      <c r="C224" t="s">
        <v>412</v>
      </c>
      <c r="D224" t="s">
        <v>413</v>
      </c>
      <c r="E224" t="s">
        <v>414</v>
      </c>
      <c r="F224" t="s">
        <v>415</v>
      </c>
      <c r="G224" t="str">
        <f>"201511022066"</f>
        <v>201511022066</v>
      </c>
      <c r="H224" t="s">
        <v>194</v>
      </c>
      <c r="I224">
        <v>0</v>
      </c>
      <c r="J224">
        <v>30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84</v>
      </c>
      <c r="S224">
        <v>588</v>
      </c>
      <c r="T224">
        <v>0</v>
      </c>
      <c r="V224">
        <v>0</v>
      </c>
      <c r="W224" t="s">
        <v>411</v>
      </c>
    </row>
    <row r="225" spans="1:23" x14ac:dyDescent="0.25">
      <c r="H225">
        <v>400</v>
      </c>
    </row>
    <row r="226" spans="1:23" x14ac:dyDescent="0.25">
      <c r="A226">
        <v>110</v>
      </c>
      <c r="B226">
        <v>377</v>
      </c>
      <c r="C226" t="s">
        <v>416</v>
      </c>
      <c r="D226" t="s">
        <v>137</v>
      </c>
      <c r="E226" t="s">
        <v>15</v>
      </c>
      <c r="F226" t="s">
        <v>417</v>
      </c>
      <c r="G226" t="str">
        <f>"200712002588"</f>
        <v>200712002588</v>
      </c>
      <c r="H226">
        <v>891</v>
      </c>
      <c r="I226">
        <v>0</v>
      </c>
      <c r="J226">
        <v>70</v>
      </c>
      <c r="K226">
        <v>30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84</v>
      </c>
      <c r="S226">
        <v>588</v>
      </c>
      <c r="T226">
        <v>0</v>
      </c>
      <c r="V226">
        <v>0</v>
      </c>
      <c r="W226">
        <v>1579</v>
      </c>
    </row>
    <row r="227" spans="1:23" x14ac:dyDescent="0.25">
      <c r="H227">
        <v>400</v>
      </c>
    </row>
    <row r="228" spans="1:23" x14ac:dyDescent="0.25">
      <c r="A228">
        <v>111</v>
      </c>
      <c r="B228">
        <v>101</v>
      </c>
      <c r="C228" t="s">
        <v>418</v>
      </c>
      <c r="D228" t="s">
        <v>419</v>
      </c>
      <c r="E228" t="s">
        <v>21</v>
      </c>
      <c r="F228" t="s">
        <v>420</v>
      </c>
      <c r="G228" t="str">
        <f>"201304002143"</f>
        <v>201304002143</v>
      </c>
      <c r="H228" t="s">
        <v>410</v>
      </c>
      <c r="I228">
        <v>0</v>
      </c>
      <c r="J228">
        <v>70</v>
      </c>
      <c r="K228">
        <v>50</v>
      </c>
      <c r="L228">
        <v>30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59</v>
      </c>
      <c r="S228">
        <v>413</v>
      </c>
      <c r="T228">
        <v>0</v>
      </c>
      <c r="V228">
        <v>0</v>
      </c>
      <c r="W228" t="s">
        <v>421</v>
      </c>
    </row>
    <row r="229" spans="1:23" x14ac:dyDescent="0.25">
      <c r="H229">
        <v>400</v>
      </c>
    </row>
    <row r="230" spans="1:23" x14ac:dyDescent="0.25">
      <c r="A230">
        <v>112</v>
      </c>
      <c r="B230">
        <v>343</v>
      </c>
      <c r="C230" t="s">
        <v>422</v>
      </c>
      <c r="D230" t="s">
        <v>15</v>
      </c>
      <c r="E230" t="s">
        <v>209</v>
      </c>
      <c r="F230" t="s">
        <v>423</v>
      </c>
      <c r="G230" t="str">
        <f>"201304000990"</f>
        <v>201304000990</v>
      </c>
      <c r="H230">
        <v>957</v>
      </c>
      <c r="I230">
        <v>0</v>
      </c>
      <c r="J230">
        <v>30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84</v>
      </c>
      <c r="S230">
        <v>588</v>
      </c>
      <c r="T230">
        <v>0</v>
      </c>
      <c r="V230">
        <v>0</v>
      </c>
      <c r="W230">
        <v>1575</v>
      </c>
    </row>
    <row r="231" spans="1:23" x14ac:dyDescent="0.25">
      <c r="H231">
        <v>400</v>
      </c>
    </row>
    <row r="232" spans="1:23" x14ac:dyDescent="0.25">
      <c r="A232">
        <v>113</v>
      </c>
      <c r="B232">
        <v>1243</v>
      </c>
      <c r="C232" t="s">
        <v>424</v>
      </c>
      <c r="D232" t="s">
        <v>74</v>
      </c>
      <c r="E232" t="s">
        <v>71</v>
      </c>
      <c r="F232" t="s">
        <v>425</v>
      </c>
      <c r="G232" t="str">
        <f>"00215446"</f>
        <v>00215446</v>
      </c>
      <c r="H232" t="s">
        <v>114</v>
      </c>
      <c r="I232">
        <v>150</v>
      </c>
      <c r="J232">
        <v>70</v>
      </c>
      <c r="K232">
        <v>0</v>
      </c>
      <c r="L232">
        <v>0</v>
      </c>
      <c r="M232">
        <v>30</v>
      </c>
      <c r="N232">
        <v>0</v>
      </c>
      <c r="O232">
        <v>0</v>
      </c>
      <c r="P232">
        <v>0</v>
      </c>
      <c r="Q232">
        <v>0</v>
      </c>
      <c r="R232">
        <v>58</v>
      </c>
      <c r="S232">
        <v>406</v>
      </c>
      <c r="T232">
        <v>0</v>
      </c>
      <c r="V232">
        <v>0</v>
      </c>
      <c r="W232" t="s">
        <v>426</v>
      </c>
    </row>
    <row r="233" spans="1:23" x14ac:dyDescent="0.25">
      <c r="H233">
        <v>400</v>
      </c>
    </row>
    <row r="234" spans="1:23" x14ac:dyDescent="0.25">
      <c r="A234">
        <v>114</v>
      </c>
      <c r="B234">
        <v>1220</v>
      </c>
      <c r="C234" t="s">
        <v>427</v>
      </c>
      <c r="D234" t="s">
        <v>247</v>
      </c>
      <c r="E234" t="s">
        <v>209</v>
      </c>
      <c r="F234" t="s">
        <v>428</v>
      </c>
      <c r="G234" t="str">
        <f>"201304004747"</f>
        <v>201304004747</v>
      </c>
      <c r="H234" t="s">
        <v>429</v>
      </c>
      <c r="I234">
        <v>0</v>
      </c>
      <c r="J234">
        <v>70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84</v>
      </c>
      <c r="S234">
        <v>588</v>
      </c>
      <c r="T234">
        <v>0</v>
      </c>
      <c r="V234">
        <v>0</v>
      </c>
      <c r="W234" t="s">
        <v>430</v>
      </c>
    </row>
    <row r="235" spans="1:23" x14ac:dyDescent="0.25">
      <c r="H235">
        <v>400</v>
      </c>
    </row>
    <row r="236" spans="1:23" x14ac:dyDescent="0.25">
      <c r="A236">
        <v>115</v>
      </c>
      <c r="B236">
        <v>434</v>
      </c>
      <c r="C236" t="s">
        <v>431</v>
      </c>
      <c r="D236" t="s">
        <v>157</v>
      </c>
      <c r="E236" t="s">
        <v>39</v>
      </c>
      <c r="F236" t="s">
        <v>432</v>
      </c>
      <c r="G236" t="str">
        <f>"200712002251"</f>
        <v>200712002251</v>
      </c>
      <c r="H236" t="s">
        <v>433</v>
      </c>
      <c r="I236">
        <v>0</v>
      </c>
      <c r="J236">
        <v>70</v>
      </c>
      <c r="K236">
        <v>30</v>
      </c>
      <c r="L236">
        <v>30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52</v>
      </c>
      <c r="S236">
        <v>364</v>
      </c>
      <c r="T236">
        <v>0</v>
      </c>
      <c r="V236">
        <v>0</v>
      </c>
      <c r="W236" t="s">
        <v>434</v>
      </c>
    </row>
    <row r="237" spans="1:23" x14ac:dyDescent="0.25">
      <c r="H237">
        <v>400</v>
      </c>
    </row>
    <row r="238" spans="1:23" x14ac:dyDescent="0.25">
      <c r="A238">
        <v>116</v>
      </c>
      <c r="B238">
        <v>1517</v>
      </c>
      <c r="C238" t="s">
        <v>435</v>
      </c>
      <c r="D238" t="s">
        <v>157</v>
      </c>
      <c r="E238" t="s">
        <v>87</v>
      </c>
      <c r="F238" t="s">
        <v>436</v>
      </c>
      <c r="G238" t="str">
        <f>"201504004757"</f>
        <v>201504004757</v>
      </c>
      <c r="H238" t="s">
        <v>437</v>
      </c>
      <c r="I238">
        <v>0</v>
      </c>
      <c r="J238">
        <v>70</v>
      </c>
      <c r="K238">
        <v>50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81</v>
      </c>
      <c r="S238">
        <v>567</v>
      </c>
      <c r="T238">
        <v>0</v>
      </c>
      <c r="V238">
        <v>0</v>
      </c>
      <c r="W238" t="s">
        <v>438</v>
      </c>
    </row>
    <row r="239" spans="1:23" x14ac:dyDescent="0.25">
      <c r="H239">
        <v>400</v>
      </c>
    </row>
    <row r="240" spans="1:23" x14ac:dyDescent="0.25">
      <c r="A240">
        <v>117</v>
      </c>
      <c r="B240">
        <v>825</v>
      </c>
      <c r="C240" t="s">
        <v>439</v>
      </c>
      <c r="D240" t="s">
        <v>440</v>
      </c>
      <c r="E240" t="s">
        <v>441</v>
      </c>
      <c r="F240">
        <v>81697</v>
      </c>
      <c r="G240" t="str">
        <f>"201405001278"</f>
        <v>201405001278</v>
      </c>
      <c r="H240">
        <v>913</v>
      </c>
      <c r="I240">
        <v>0</v>
      </c>
      <c r="J240">
        <v>70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84</v>
      </c>
      <c r="S240">
        <v>588</v>
      </c>
      <c r="T240">
        <v>0</v>
      </c>
      <c r="V240">
        <v>1</v>
      </c>
      <c r="W240">
        <v>1571</v>
      </c>
    </row>
    <row r="241" spans="1:23" x14ac:dyDescent="0.25">
      <c r="H241">
        <v>400</v>
      </c>
    </row>
    <row r="242" spans="1:23" x14ac:dyDescent="0.25">
      <c r="A242">
        <v>118</v>
      </c>
      <c r="B242">
        <v>1647</v>
      </c>
      <c r="C242" t="s">
        <v>442</v>
      </c>
      <c r="D242" t="s">
        <v>180</v>
      </c>
      <c r="E242" t="s">
        <v>209</v>
      </c>
      <c r="F242" t="s">
        <v>443</v>
      </c>
      <c r="G242" t="str">
        <f>"00157451"</f>
        <v>00157451</v>
      </c>
      <c r="H242">
        <v>803</v>
      </c>
      <c r="I242">
        <v>150</v>
      </c>
      <c r="J242">
        <v>30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84</v>
      </c>
      <c r="S242">
        <v>588</v>
      </c>
      <c r="T242">
        <v>0</v>
      </c>
      <c r="V242">
        <v>0</v>
      </c>
      <c r="W242">
        <v>1571</v>
      </c>
    </row>
    <row r="243" spans="1:23" x14ac:dyDescent="0.25">
      <c r="H243">
        <v>400</v>
      </c>
    </row>
    <row r="244" spans="1:23" x14ac:dyDescent="0.25">
      <c r="A244">
        <v>119</v>
      </c>
      <c r="B244">
        <v>1872</v>
      </c>
      <c r="C244" t="s">
        <v>444</v>
      </c>
      <c r="D244" t="s">
        <v>97</v>
      </c>
      <c r="E244" t="s">
        <v>15</v>
      </c>
      <c r="F244" t="s">
        <v>445</v>
      </c>
      <c r="G244" t="str">
        <f>"201108000090"</f>
        <v>201108000090</v>
      </c>
      <c r="H244" t="s">
        <v>410</v>
      </c>
      <c r="I244">
        <v>150</v>
      </c>
      <c r="J244">
        <v>70</v>
      </c>
      <c r="K244">
        <v>30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48</v>
      </c>
      <c r="S244">
        <v>336</v>
      </c>
      <c r="T244">
        <v>0</v>
      </c>
      <c r="V244">
        <v>0</v>
      </c>
      <c r="W244" t="s">
        <v>446</v>
      </c>
    </row>
    <row r="245" spans="1:23" x14ac:dyDescent="0.25">
      <c r="H245">
        <v>400</v>
      </c>
    </row>
    <row r="246" spans="1:23" x14ac:dyDescent="0.25">
      <c r="A246">
        <v>120</v>
      </c>
      <c r="B246">
        <v>661</v>
      </c>
      <c r="C246" t="s">
        <v>325</v>
      </c>
      <c r="D246" t="s">
        <v>74</v>
      </c>
      <c r="E246" t="s">
        <v>15</v>
      </c>
      <c r="F246" t="s">
        <v>447</v>
      </c>
      <c r="G246" t="str">
        <f>"201411000766"</f>
        <v>201411000766</v>
      </c>
      <c r="H246">
        <v>880</v>
      </c>
      <c r="I246">
        <v>0</v>
      </c>
      <c r="J246">
        <v>70</v>
      </c>
      <c r="K246">
        <v>30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84</v>
      </c>
      <c r="S246">
        <v>588</v>
      </c>
      <c r="T246">
        <v>0</v>
      </c>
      <c r="V246">
        <v>0</v>
      </c>
      <c r="W246">
        <v>1568</v>
      </c>
    </row>
    <row r="247" spans="1:23" x14ac:dyDescent="0.25">
      <c r="H247">
        <v>400</v>
      </c>
    </row>
    <row r="248" spans="1:23" x14ac:dyDescent="0.25">
      <c r="A248">
        <v>121</v>
      </c>
      <c r="B248">
        <v>204</v>
      </c>
      <c r="C248" t="s">
        <v>448</v>
      </c>
      <c r="D248" t="s">
        <v>180</v>
      </c>
      <c r="E248" t="s">
        <v>33</v>
      </c>
      <c r="F248" t="s">
        <v>449</v>
      </c>
      <c r="G248" t="str">
        <f>"00159059"</f>
        <v>00159059</v>
      </c>
      <c r="H248" t="s">
        <v>108</v>
      </c>
      <c r="I248">
        <v>0</v>
      </c>
      <c r="J248">
        <v>30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74</v>
      </c>
      <c r="S248">
        <v>518</v>
      </c>
      <c r="T248">
        <v>0</v>
      </c>
      <c r="V248">
        <v>0</v>
      </c>
      <c r="W248" t="s">
        <v>450</v>
      </c>
    </row>
    <row r="249" spans="1:23" x14ac:dyDescent="0.25">
      <c r="H249">
        <v>400</v>
      </c>
    </row>
    <row r="250" spans="1:23" x14ac:dyDescent="0.25">
      <c r="A250">
        <v>122</v>
      </c>
      <c r="B250">
        <v>1173</v>
      </c>
      <c r="C250" t="s">
        <v>451</v>
      </c>
      <c r="D250" t="s">
        <v>74</v>
      </c>
      <c r="E250" t="s">
        <v>106</v>
      </c>
      <c r="F250" t="s">
        <v>452</v>
      </c>
      <c r="G250" t="str">
        <f>"201406001885"</f>
        <v>201406001885</v>
      </c>
      <c r="H250" t="s">
        <v>285</v>
      </c>
      <c r="I250">
        <v>0</v>
      </c>
      <c r="J250">
        <v>50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84</v>
      </c>
      <c r="S250">
        <v>588</v>
      </c>
      <c r="T250">
        <v>0</v>
      </c>
      <c r="V250">
        <v>0</v>
      </c>
      <c r="W250" t="s">
        <v>453</v>
      </c>
    </row>
    <row r="251" spans="1:23" x14ac:dyDescent="0.25">
      <c r="H251" t="s">
        <v>76</v>
      </c>
    </row>
    <row r="252" spans="1:23" x14ac:dyDescent="0.25">
      <c r="A252">
        <v>123</v>
      </c>
      <c r="B252">
        <v>995</v>
      </c>
      <c r="C252" t="s">
        <v>454</v>
      </c>
      <c r="D252" t="s">
        <v>455</v>
      </c>
      <c r="E252" t="s">
        <v>71</v>
      </c>
      <c r="F252" t="s">
        <v>456</v>
      </c>
      <c r="G252" t="str">
        <f>"00184023"</f>
        <v>00184023</v>
      </c>
      <c r="H252">
        <v>759</v>
      </c>
      <c r="I252">
        <v>150</v>
      </c>
      <c r="J252">
        <v>70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84</v>
      </c>
      <c r="S252">
        <v>588</v>
      </c>
      <c r="T252">
        <v>0</v>
      </c>
      <c r="V252">
        <v>0</v>
      </c>
      <c r="W252">
        <v>1567</v>
      </c>
    </row>
    <row r="253" spans="1:23" x14ac:dyDescent="0.25">
      <c r="H253">
        <v>400</v>
      </c>
    </row>
    <row r="254" spans="1:23" x14ac:dyDescent="0.25">
      <c r="A254">
        <v>124</v>
      </c>
      <c r="B254">
        <v>277</v>
      </c>
      <c r="C254" t="s">
        <v>457</v>
      </c>
      <c r="D254" t="s">
        <v>192</v>
      </c>
      <c r="E254" t="s">
        <v>209</v>
      </c>
      <c r="F254" t="s">
        <v>458</v>
      </c>
      <c r="G254" t="str">
        <f>"00103326"</f>
        <v>00103326</v>
      </c>
      <c r="H254" t="s">
        <v>459</v>
      </c>
      <c r="I254">
        <v>0</v>
      </c>
      <c r="J254">
        <v>70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84</v>
      </c>
      <c r="S254">
        <v>588</v>
      </c>
      <c r="T254">
        <v>0</v>
      </c>
      <c r="V254">
        <v>0</v>
      </c>
      <c r="W254" t="s">
        <v>460</v>
      </c>
    </row>
    <row r="255" spans="1:23" x14ac:dyDescent="0.25">
      <c r="H255">
        <v>400</v>
      </c>
    </row>
    <row r="256" spans="1:23" x14ac:dyDescent="0.25">
      <c r="A256">
        <v>125</v>
      </c>
      <c r="B256">
        <v>519</v>
      </c>
      <c r="C256" t="s">
        <v>461</v>
      </c>
      <c r="D256" t="s">
        <v>462</v>
      </c>
      <c r="E256" t="s">
        <v>154</v>
      </c>
      <c r="F256" t="s">
        <v>463</v>
      </c>
      <c r="G256" t="str">
        <f>"201406001099"</f>
        <v>201406001099</v>
      </c>
      <c r="H256" t="s">
        <v>459</v>
      </c>
      <c r="I256">
        <v>0</v>
      </c>
      <c r="J256">
        <v>70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84</v>
      </c>
      <c r="S256">
        <v>588</v>
      </c>
      <c r="T256">
        <v>0</v>
      </c>
      <c r="V256">
        <v>0</v>
      </c>
      <c r="W256" t="s">
        <v>460</v>
      </c>
    </row>
    <row r="257" spans="1:23" x14ac:dyDescent="0.25">
      <c r="H257">
        <v>400</v>
      </c>
    </row>
    <row r="258" spans="1:23" x14ac:dyDescent="0.25">
      <c r="A258">
        <v>126</v>
      </c>
      <c r="B258">
        <v>1579</v>
      </c>
      <c r="C258" t="s">
        <v>464</v>
      </c>
      <c r="D258" t="s">
        <v>195</v>
      </c>
      <c r="E258" t="s">
        <v>21</v>
      </c>
      <c r="F258" t="s">
        <v>465</v>
      </c>
      <c r="G258" t="str">
        <f>"200801003833"</f>
        <v>200801003833</v>
      </c>
      <c r="H258" t="s">
        <v>352</v>
      </c>
      <c r="I258">
        <v>150</v>
      </c>
      <c r="J258">
        <v>30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84</v>
      </c>
      <c r="S258">
        <v>588</v>
      </c>
      <c r="T258">
        <v>0</v>
      </c>
      <c r="V258">
        <v>0</v>
      </c>
      <c r="W258" t="s">
        <v>460</v>
      </c>
    </row>
    <row r="259" spans="1:23" x14ac:dyDescent="0.25">
      <c r="H259" t="s">
        <v>76</v>
      </c>
    </row>
    <row r="260" spans="1:23" x14ac:dyDescent="0.25">
      <c r="A260">
        <v>127</v>
      </c>
      <c r="B260">
        <v>986</v>
      </c>
      <c r="C260" t="s">
        <v>466</v>
      </c>
      <c r="D260" t="s">
        <v>467</v>
      </c>
      <c r="E260" t="s">
        <v>468</v>
      </c>
      <c r="F260" t="s">
        <v>469</v>
      </c>
      <c r="G260" t="str">
        <f>"00149541"</f>
        <v>00149541</v>
      </c>
      <c r="H260">
        <v>946</v>
      </c>
      <c r="I260">
        <v>0</v>
      </c>
      <c r="J260">
        <v>30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84</v>
      </c>
      <c r="S260">
        <v>588</v>
      </c>
      <c r="T260">
        <v>0</v>
      </c>
      <c r="V260">
        <v>0</v>
      </c>
      <c r="W260">
        <v>1564</v>
      </c>
    </row>
    <row r="261" spans="1:23" x14ac:dyDescent="0.25">
      <c r="H261">
        <v>400</v>
      </c>
    </row>
    <row r="262" spans="1:23" x14ac:dyDescent="0.25">
      <c r="A262">
        <v>128</v>
      </c>
      <c r="B262">
        <v>1034</v>
      </c>
      <c r="C262" t="s">
        <v>470</v>
      </c>
      <c r="D262" t="s">
        <v>313</v>
      </c>
      <c r="E262" t="s">
        <v>21</v>
      </c>
      <c r="F262" t="s">
        <v>471</v>
      </c>
      <c r="G262" t="str">
        <f>"200908000395"</f>
        <v>200908000395</v>
      </c>
      <c r="H262" t="s">
        <v>472</v>
      </c>
      <c r="I262">
        <v>0</v>
      </c>
      <c r="J262">
        <v>70</v>
      </c>
      <c r="K262">
        <v>30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84</v>
      </c>
      <c r="S262">
        <v>588</v>
      </c>
      <c r="T262">
        <v>0</v>
      </c>
      <c r="V262">
        <v>0</v>
      </c>
      <c r="W262" t="s">
        <v>473</v>
      </c>
    </row>
    <row r="263" spans="1:23" x14ac:dyDescent="0.25">
      <c r="H263">
        <v>400</v>
      </c>
    </row>
    <row r="264" spans="1:23" x14ac:dyDescent="0.25">
      <c r="A264">
        <v>129</v>
      </c>
      <c r="B264">
        <v>752</v>
      </c>
      <c r="C264" t="s">
        <v>474</v>
      </c>
      <c r="D264" t="s">
        <v>475</v>
      </c>
      <c r="E264" t="s">
        <v>476</v>
      </c>
      <c r="F264" t="s">
        <v>477</v>
      </c>
      <c r="G264" t="str">
        <f>"00215729"</f>
        <v>00215729</v>
      </c>
      <c r="H264" t="s">
        <v>478</v>
      </c>
      <c r="I264">
        <v>150</v>
      </c>
      <c r="J264">
        <v>30</v>
      </c>
      <c r="K264">
        <v>30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84</v>
      </c>
      <c r="S264">
        <v>588</v>
      </c>
      <c r="T264">
        <v>0</v>
      </c>
      <c r="V264">
        <v>0</v>
      </c>
      <c r="W264" t="s">
        <v>473</v>
      </c>
    </row>
    <row r="265" spans="1:23" x14ac:dyDescent="0.25">
      <c r="H265">
        <v>400</v>
      </c>
    </row>
    <row r="266" spans="1:23" x14ac:dyDescent="0.25">
      <c r="A266">
        <v>130</v>
      </c>
      <c r="B266">
        <v>292</v>
      </c>
      <c r="C266" t="s">
        <v>479</v>
      </c>
      <c r="D266" t="s">
        <v>313</v>
      </c>
      <c r="E266" t="s">
        <v>414</v>
      </c>
      <c r="F266" t="s">
        <v>480</v>
      </c>
      <c r="G266" t="str">
        <f>"00217295"</f>
        <v>00217295</v>
      </c>
      <c r="H266">
        <v>924</v>
      </c>
      <c r="I266">
        <v>0</v>
      </c>
      <c r="J266">
        <v>50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84</v>
      </c>
      <c r="S266">
        <v>588</v>
      </c>
      <c r="T266">
        <v>0</v>
      </c>
      <c r="V266">
        <v>0</v>
      </c>
      <c r="W266">
        <v>1562</v>
      </c>
    </row>
    <row r="267" spans="1:23" x14ac:dyDescent="0.25">
      <c r="H267">
        <v>400</v>
      </c>
    </row>
    <row r="268" spans="1:23" x14ac:dyDescent="0.25">
      <c r="A268">
        <v>131</v>
      </c>
      <c r="B268">
        <v>1457</v>
      </c>
      <c r="C268" t="s">
        <v>481</v>
      </c>
      <c r="D268" t="s">
        <v>319</v>
      </c>
      <c r="E268" t="s">
        <v>414</v>
      </c>
      <c r="F268" t="s">
        <v>482</v>
      </c>
      <c r="G268" t="str">
        <f>"201303000325"</f>
        <v>201303000325</v>
      </c>
      <c r="H268">
        <v>902</v>
      </c>
      <c r="I268">
        <v>0</v>
      </c>
      <c r="J268">
        <v>70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84</v>
      </c>
      <c r="S268">
        <v>588</v>
      </c>
      <c r="T268">
        <v>0</v>
      </c>
      <c r="V268">
        <v>0</v>
      </c>
      <c r="W268">
        <v>1560</v>
      </c>
    </row>
    <row r="269" spans="1:23" x14ac:dyDescent="0.25">
      <c r="H269">
        <v>400</v>
      </c>
    </row>
    <row r="270" spans="1:23" x14ac:dyDescent="0.25">
      <c r="A270">
        <v>132</v>
      </c>
      <c r="B270">
        <v>799</v>
      </c>
      <c r="C270" t="s">
        <v>483</v>
      </c>
      <c r="D270" t="s">
        <v>484</v>
      </c>
      <c r="E270" t="s">
        <v>485</v>
      </c>
      <c r="F270" t="s">
        <v>486</v>
      </c>
      <c r="G270" t="str">
        <f>"00173702"</f>
        <v>00173702</v>
      </c>
      <c r="H270" t="s">
        <v>410</v>
      </c>
      <c r="I270">
        <v>0</v>
      </c>
      <c r="J270">
        <v>70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72</v>
      </c>
      <c r="S270">
        <v>504</v>
      </c>
      <c r="T270">
        <v>0</v>
      </c>
      <c r="V270">
        <v>0</v>
      </c>
      <c r="W270" t="s">
        <v>487</v>
      </c>
    </row>
    <row r="271" spans="1:23" x14ac:dyDescent="0.25">
      <c r="H271">
        <v>400</v>
      </c>
    </row>
    <row r="272" spans="1:23" x14ac:dyDescent="0.25">
      <c r="A272">
        <v>133</v>
      </c>
      <c r="B272">
        <v>580</v>
      </c>
      <c r="C272" t="s">
        <v>488</v>
      </c>
      <c r="D272" t="s">
        <v>27</v>
      </c>
      <c r="E272" t="s">
        <v>15</v>
      </c>
      <c r="F272" t="s">
        <v>489</v>
      </c>
      <c r="G272" t="str">
        <f>"00201289"</f>
        <v>00201289</v>
      </c>
      <c r="H272" t="s">
        <v>226</v>
      </c>
      <c r="I272">
        <v>0</v>
      </c>
      <c r="J272">
        <v>30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84</v>
      </c>
      <c r="S272">
        <v>588</v>
      </c>
      <c r="T272">
        <v>0</v>
      </c>
      <c r="V272">
        <v>0</v>
      </c>
      <c r="W272" t="s">
        <v>487</v>
      </c>
    </row>
    <row r="273" spans="1:23" x14ac:dyDescent="0.25">
      <c r="H273">
        <v>400</v>
      </c>
    </row>
    <row r="274" spans="1:23" x14ac:dyDescent="0.25">
      <c r="A274">
        <v>134</v>
      </c>
      <c r="B274">
        <v>311</v>
      </c>
      <c r="C274" t="s">
        <v>490</v>
      </c>
      <c r="D274" t="s">
        <v>74</v>
      </c>
      <c r="E274" t="s">
        <v>27</v>
      </c>
      <c r="F274" t="s">
        <v>491</v>
      </c>
      <c r="G274" t="str">
        <f>"00216636"</f>
        <v>00216636</v>
      </c>
      <c r="H274">
        <v>770</v>
      </c>
      <c r="I274">
        <v>150</v>
      </c>
      <c r="J274">
        <v>50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84</v>
      </c>
      <c r="S274">
        <v>588</v>
      </c>
      <c r="T274">
        <v>0</v>
      </c>
      <c r="V274">
        <v>0</v>
      </c>
      <c r="W274">
        <v>1558</v>
      </c>
    </row>
    <row r="275" spans="1:23" x14ac:dyDescent="0.25">
      <c r="H275">
        <v>400</v>
      </c>
    </row>
    <row r="276" spans="1:23" x14ac:dyDescent="0.25">
      <c r="A276">
        <v>135</v>
      </c>
      <c r="B276">
        <v>223</v>
      </c>
      <c r="C276" t="s">
        <v>492</v>
      </c>
      <c r="D276" t="s">
        <v>158</v>
      </c>
      <c r="E276" t="s">
        <v>493</v>
      </c>
      <c r="F276" t="s">
        <v>494</v>
      </c>
      <c r="G276" t="str">
        <f>"00215504"</f>
        <v>00215504</v>
      </c>
      <c r="H276" t="s">
        <v>495</v>
      </c>
      <c r="I276">
        <v>0</v>
      </c>
      <c r="J276">
        <v>50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84</v>
      </c>
      <c r="S276">
        <v>588</v>
      </c>
      <c r="T276">
        <v>0</v>
      </c>
      <c r="V276">
        <v>0</v>
      </c>
      <c r="W276" t="s">
        <v>496</v>
      </c>
    </row>
    <row r="277" spans="1:23" x14ac:dyDescent="0.25">
      <c r="H277">
        <v>400</v>
      </c>
    </row>
    <row r="278" spans="1:23" x14ac:dyDescent="0.25">
      <c r="A278">
        <v>136</v>
      </c>
      <c r="B278">
        <v>937</v>
      </c>
      <c r="C278" t="s">
        <v>497</v>
      </c>
      <c r="D278" t="s">
        <v>498</v>
      </c>
      <c r="E278" t="s">
        <v>71</v>
      </c>
      <c r="F278" t="s">
        <v>499</v>
      </c>
      <c r="G278" t="str">
        <f>"00216221"</f>
        <v>00216221</v>
      </c>
      <c r="H278" t="s">
        <v>293</v>
      </c>
      <c r="I278">
        <v>0</v>
      </c>
      <c r="J278">
        <v>30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84</v>
      </c>
      <c r="S278">
        <v>588</v>
      </c>
      <c r="T278">
        <v>0</v>
      </c>
      <c r="V278">
        <v>0</v>
      </c>
      <c r="W278" t="s">
        <v>500</v>
      </c>
    </row>
    <row r="279" spans="1:23" x14ac:dyDescent="0.25">
      <c r="H279">
        <v>400</v>
      </c>
    </row>
    <row r="280" spans="1:23" x14ac:dyDescent="0.25">
      <c r="A280">
        <v>137</v>
      </c>
      <c r="B280">
        <v>1887</v>
      </c>
      <c r="C280" t="s">
        <v>501</v>
      </c>
      <c r="D280" t="s">
        <v>502</v>
      </c>
      <c r="E280" t="s">
        <v>200</v>
      </c>
      <c r="F280" t="s">
        <v>503</v>
      </c>
      <c r="G280" t="str">
        <f>"201406010374"</f>
        <v>201406010374</v>
      </c>
      <c r="H280">
        <v>759</v>
      </c>
      <c r="I280">
        <v>150</v>
      </c>
      <c r="J280">
        <v>30</v>
      </c>
      <c r="K280">
        <v>30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84</v>
      </c>
      <c r="S280">
        <v>588</v>
      </c>
      <c r="T280">
        <v>0</v>
      </c>
      <c r="V280">
        <v>1</v>
      </c>
      <c r="W280">
        <v>1557</v>
      </c>
    </row>
    <row r="281" spans="1:23" x14ac:dyDescent="0.25">
      <c r="H281">
        <v>400</v>
      </c>
    </row>
    <row r="282" spans="1:23" x14ac:dyDescent="0.25">
      <c r="A282">
        <v>138</v>
      </c>
      <c r="B282">
        <v>1633</v>
      </c>
      <c r="C282" t="s">
        <v>504</v>
      </c>
      <c r="D282" t="s">
        <v>220</v>
      </c>
      <c r="E282" t="s">
        <v>505</v>
      </c>
      <c r="F282" t="s">
        <v>506</v>
      </c>
      <c r="G282" t="str">
        <f>"201511017762"</f>
        <v>201511017762</v>
      </c>
      <c r="H282">
        <v>1056</v>
      </c>
      <c r="I282">
        <v>0</v>
      </c>
      <c r="J282">
        <v>70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57</v>
      </c>
      <c r="S282">
        <v>399</v>
      </c>
      <c r="T282">
        <v>0</v>
      </c>
      <c r="V282">
        <v>0</v>
      </c>
      <c r="W282">
        <v>1555</v>
      </c>
    </row>
    <row r="283" spans="1:23" x14ac:dyDescent="0.25">
      <c r="H283">
        <v>400</v>
      </c>
    </row>
    <row r="284" spans="1:23" x14ac:dyDescent="0.25">
      <c r="A284">
        <v>139</v>
      </c>
      <c r="B284">
        <v>476</v>
      </c>
      <c r="C284" t="s">
        <v>507</v>
      </c>
      <c r="D284" t="s">
        <v>180</v>
      </c>
      <c r="E284" t="s">
        <v>508</v>
      </c>
      <c r="F284" t="s">
        <v>509</v>
      </c>
      <c r="G284" t="str">
        <f>"00157556"</f>
        <v>00157556</v>
      </c>
      <c r="H284">
        <v>1034</v>
      </c>
      <c r="I284">
        <v>0</v>
      </c>
      <c r="J284">
        <v>30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70</v>
      </c>
      <c r="S284">
        <v>490</v>
      </c>
      <c r="T284">
        <v>0</v>
      </c>
      <c r="V284">
        <v>0</v>
      </c>
      <c r="W284">
        <v>1554</v>
      </c>
    </row>
    <row r="285" spans="1:23" x14ac:dyDescent="0.25">
      <c r="H285">
        <v>400</v>
      </c>
    </row>
    <row r="286" spans="1:23" x14ac:dyDescent="0.25">
      <c r="A286">
        <v>140</v>
      </c>
      <c r="B286">
        <v>1055</v>
      </c>
      <c r="C286" t="s">
        <v>510</v>
      </c>
      <c r="D286" t="s">
        <v>511</v>
      </c>
      <c r="E286" t="s">
        <v>511</v>
      </c>
      <c r="F286" t="s">
        <v>512</v>
      </c>
      <c r="G286" t="str">
        <f>"201406007811"</f>
        <v>201406007811</v>
      </c>
      <c r="H286" t="s">
        <v>114</v>
      </c>
      <c r="I286">
        <v>0</v>
      </c>
      <c r="J286">
        <v>30</v>
      </c>
      <c r="K286">
        <v>50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79</v>
      </c>
      <c r="S286">
        <v>553</v>
      </c>
      <c r="T286">
        <v>0</v>
      </c>
      <c r="V286">
        <v>0</v>
      </c>
      <c r="W286" t="s">
        <v>513</v>
      </c>
    </row>
    <row r="287" spans="1:23" x14ac:dyDescent="0.25">
      <c r="H287">
        <v>400</v>
      </c>
    </row>
    <row r="288" spans="1:23" x14ac:dyDescent="0.25">
      <c r="A288">
        <v>141</v>
      </c>
      <c r="B288">
        <v>605</v>
      </c>
      <c r="C288" t="s">
        <v>514</v>
      </c>
      <c r="D288" t="s">
        <v>515</v>
      </c>
      <c r="E288" t="s">
        <v>291</v>
      </c>
      <c r="F288" t="s">
        <v>516</v>
      </c>
      <c r="G288" t="str">
        <f>"201304003468"</f>
        <v>201304003468</v>
      </c>
      <c r="H288">
        <v>891</v>
      </c>
      <c r="I288">
        <v>0</v>
      </c>
      <c r="J288">
        <v>70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84</v>
      </c>
      <c r="S288">
        <v>588</v>
      </c>
      <c r="T288">
        <v>0</v>
      </c>
      <c r="V288">
        <v>0</v>
      </c>
      <c r="W288">
        <v>1549</v>
      </c>
    </row>
    <row r="289" spans="1:23" x14ac:dyDescent="0.25">
      <c r="H289">
        <v>400</v>
      </c>
    </row>
    <row r="290" spans="1:23" x14ac:dyDescent="0.25">
      <c r="A290">
        <v>142</v>
      </c>
      <c r="B290">
        <v>1480</v>
      </c>
      <c r="C290" t="s">
        <v>517</v>
      </c>
      <c r="D290" t="s">
        <v>192</v>
      </c>
      <c r="E290" t="s">
        <v>158</v>
      </c>
      <c r="F290" t="s">
        <v>518</v>
      </c>
      <c r="G290" t="str">
        <f>"00123539"</f>
        <v>00123539</v>
      </c>
      <c r="H290">
        <v>891</v>
      </c>
      <c r="I290">
        <v>0</v>
      </c>
      <c r="J290">
        <v>70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84</v>
      </c>
      <c r="S290">
        <v>588</v>
      </c>
      <c r="T290">
        <v>0</v>
      </c>
      <c r="V290">
        <v>0</v>
      </c>
      <c r="W290">
        <v>1549</v>
      </c>
    </row>
    <row r="291" spans="1:23" x14ac:dyDescent="0.25">
      <c r="H291">
        <v>400</v>
      </c>
    </row>
    <row r="292" spans="1:23" x14ac:dyDescent="0.25">
      <c r="A292">
        <v>143</v>
      </c>
      <c r="B292">
        <v>366</v>
      </c>
      <c r="C292" t="s">
        <v>519</v>
      </c>
      <c r="D292" t="s">
        <v>177</v>
      </c>
      <c r="E292" t="s">
        <v>520</v>
      </c>
      <c r="F292" t="s">
        <v>521</v>
      </c>
      <c r="G292" t="str">
        <f>"00082850"</f>
        <v>00082850</v>
      </c>
      <c r="H292">
        <v>891</v>
      </c>
      <c r="I292">
        <v>0</v>
      </c>
      <c r="J292">
        <v>70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84</v>
      </c>
      <c r="S292">
        <v>588</v>
      </c>
      <c r="T292">
        <v>0</v>
      </c>
      <c r="V292">
        <v>0</v>
      </c>
      <c r="W292">
        <v>1549</v>
      </c>
    </row>
    <row r="293" spans="1:23" x14ac:dyDescent="0.25">
      <c r="H293">
        <v>400</v>
      </c>
    </row>
    <row r="294" spans="1:23" x14ac:dyDescent="0.25">
      <c r="A294">
        <v>144</v>
      </c>
      <c r="B294">
        <v>1475</v>
      </c>
      <c r="C294" t="s">
        <v>522</v>
      </c>
      <c r="D294" t="s">
        <v>209</v>
      </c>
      <c r="E294" t="s">
        <v>523</v>
      </c>
      <c r="F294" t="s">
        <v>524</v>
      </c>
      <c r="G294" t="str">
        <f>"201511041408"</f>
        <v>201511041408</v>
      </c>
      <c r="H294" t="s">
        <v>68</v>
      </c>
      <c r="I294">
        <v>0</v>
      </c>
      <c r="J294">
        <v>70</v>
      </c>
      <c r="K294">
        <v>0</v>
      </c>
      <c r="L294">
        <v>0</v>
      </c>
      <c r="M294">
        <v>30</v>
      </c>
      <c r="N294">
        <v>0</v>
      </c>
      <c r="O294">
        <v>0</v>
      </c>
      <c r="P294">
        <v>0</v>
      </c>
      <c r="Q294">
        <v>0</v>
      </c>
      <c r="R294">
        <v>60</v>
      </c>
      <c r="S294">
        <v>420</v>
      </c>
      <c r="T294">
        <v>0</v>
      </c>
      <c r="V294">
        <v>0</v>
      </c>
      <c r="W294" t="s">
        <v>525</v>
      </c>
    </row>
    <row r="295" spans="1:23" x14ac:dyDescent="0.25">
      <c r="H295">
        <v>400</v>
      </c>
    </row>
    <row r="296" spans="1:23" x14ac:dyDescent="0.25">
      <c r="A296">
        <v>145</v>
      </c>
      <c r="B296">
        <v>402</v>
      </c>
      <c r="C296" t="s">
        <v>526</v>
      </c>
      <c r="D296" t="s">
        <v>527</v>
      </c>
      <c r="E296" t="s">
        <v>291</v>
      </c>
      <c r="F296" t="s">
        <v>528</v>
      </c>
      <c r="G296" t="str">
        <f>"201409004900"</f>
        <v>201409004900</v>
      </c>
      <c r="H296" t="s">
        <v>385</v>
      </c>
      <c r="I296">
        <v>0</v>
      </c>
      <c r="J296">
        <v>30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84</v>
      </c>
      <c r="S296">
        <v>588</v>
      </c>
      <c r="T296">
        <v>0</v>
      </c>
      <c r="V296">
        <v>0</v>
      </c>
      <c r="W296" t="s">
        <v>529</v>
      </c>
    </row>
    <row r="297" spans="1:23" x14ac:dyDescent="0.25">
      <c r="H297" t="s">
        <v>76</v>
      </c>
    </row>
    <row r="298" spans="1:23" x14ac:dyDescent="0.25">
      <c r="A298">
        <v>146</v>
      </c>
      <c r="B298">
        <v>1809</v>
      </c>
      <c r="C298" t="s">
        <v>530</v>
      </c>
      <c r="D298" t="s">
        <v>74</v>
      </c>
      <c r="E298" t="s">
        <v>15</v>
      </c>
      <c r="F298" t="s">
        <v>531</v>
      </c>
      <c r="G298" t="str">
        <f>"200808000443"</f>
        <v>200808000443</v>
      </c>
      <c r="H298" t="s">
        <v>293</v>
      </c>
      <c r="I298">
        <v>150</v>
      </c>
      <c r="J298">
        <v>50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58</v>
      </c>
      <c r="S298">
        <v>406</v>
      </c>
      <c r="T298">
        <v>0</v>
      </c>
      <c r="V298">
        <v>0</v>
      </c>
      <c r="W298" t="s">
        <v>532</v>
      </c>
    </row>
    <row r="299" spans="1:23" x14ac:dyDescent="0.25">
      <c r="H299">
        <v>400</v>
      </c>
    </row>
    <row r="300" spans="1:23" x14ac:dyDescent="0.25">
      <c r="A300">
        <v>147</v>
      </c>
      <c r="B300">
        <v>1135</v>
      </c>
      <c r="C300" t="s">
        <v>533</v>
      </c>
      <c r="D300" t="s">
        <v>27</v>
      </c>
      <c r="E300" t="s">
        <v>534</v>
      </c>
      <c r="F300" t="s">
        <v>535</v>
      </c>
      <c r="G300" t="str">
        <f>"201504005329"</f>
        <v>201504005329</v>
      </c>
      <c r="H300">
        <v>957</v>
      </c>
      <c r="I300">
        <v>150</v>
      </c>
      <c r="J300">
        <v>50</v>
      </c>
      <c r="K300">
        <v>0</v>
      </c>
      <c r="L300">
        <v>30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51</v>
      </c>
      <c r="S300">
        <v>357</v>
      </c>
      <c r="T300">
        <v>0</v>
      </c>
      <c r="V300">
        <v>0</v>
      </c>
      <c r="W300">
        <v>1544</v>
      </c>
    </row>
    <row r="301" spans="1:23" x14ac:dyDescent="0.25">
      <c r="H301">
        <v>400</v>
      </c>
    </row>
    <row r="302" spans="1:23" x14ac:dyDescent="0.25">
      <c r="A302">
        <v>148</v>
      </c>
      <c r="B302">
        <v>1180</v>
      </c>
      <c r="C302" t="s">
        <v>536</v>
      </c>
      <c r="D302" t="s">
        <v>537</v>
      </c>
      <c r="E302" t="s">
        <v>209</v>
      </c>
      <c r="F302" t="s">
        <v>538</v>
      </c>
      <c r="G302" t="str">
        <f>"00142373"</f>
        <v>00142373</v>
      </c>
      <c r="H302">
        <v>1056</v>
      </c>
      <c r="I302">
        <v>0</v>
      </c>
      <c r="J302">
        <v>70</v>
      </c>
      <c r="K302">
        <v>0</v>
      </c>
      <c r="L302">
        <v>30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55</v>
      </c>
      <c r="S302">
        <v>385</v>
      </c>
      <c r="T302">
        <v>0</v>
      </c>
      <c r="V302">
        <v>0</v>
      </c>
      <c r="W302">
        <v>1541</v>
      </c>
    </row>
    <row r="303" spans="1:23" x14ac:dyDescent="0.25">
      <c r="H303">
        <v>400</v>
      </c>
    </row>
    <row r="304" spans="1:23" x14ac:dyDescent="0.25">
      <c r="A304">
        <v>149</v>
      </c>
      <c r="B304">
        <v>89</v>
      </c>
      <c r="C304" t="s">
        <v>539</v>
      </c>
      <c r="D304" t="s">
        <v>180</v>
      </c>
      <c r="E304" t="s">
        <v>27</v>
      </c>
      <c r="F304" t="s">
        <v>540</v>
      </c>
      <c r="G304" t="str">
        <f>"201410006538"</f>
        <v>201410006538</v>
      </c>
      <c r="H304">
        <v>1001</v>
      </c>
      <c r="I304">
        <v>0</v>
      </c>
      <c r="J304">
        <v>70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67</v>
      </c>
      <c r="S304">
        <v>469</v>
      </c>
      <c r="T304">
        <v>0</v>
      </c>
      <c r="V304">
        <v>0</v>
      </c>
      <c r="W304">
        <v>1540</v>
      </c>
    </row>
    <row r="305" spans="1:23" x14ac:dyDescent="0.25">
      <c r="H305">
        <v>400</v>
      </c>
    </row>
    <row r="306" spans="1:23" x14ac:dyDescent="0.25">
      <c r="A306">
        <v>150</v>
      </c>
      <c r="B306">
        <v>1199</v>
      </c>
      <c r="C306" t="s">
        <v>541</v>
      </c>
      <c r="D306" t="s">
        <v>163</v>
      </c>
      <c r="E306" t="s">
        <v>27</v>
      </c>
      <c r="F306" t="s">
        <v>542</v>
      </c>
      <c r="G306" t="str">
        <f>"00147386"</f>
        <v>00147386</v>
      </c>
      <c r="H306">
        <v>957</v>
      </c>
      <c r="I306">
        <v>0</v>
      </c>
      <c r="J306">
        <v>70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30</v>
      </c>
      <c r="Q306">
        <v>0</v>
      </c>
      <c r="R306">
        <v>69</v>
      </c>
      <c r="S306">
        <v>483</v>
      </c>
      <c r="T306">
        <v>0</v>
      </c>
      <c r="V306">
        <v>0</v>
      </c>
      <c r="W306">
        <v>1540</v>
      </c>
    </row>
    <row r="307" spans="1:23" x14ac:dyDescent="0.25">
      <c r="H307">
        <v>400</v>
      </c>
    </row>
    <row r="308" spans="1:23" x14ac:dyDescent="0.25">
      <c r="A308">
        <v>151</v>
      </c>
      <c r="B308">
        <v>1846</v>
      </c>
      <c r="C308" t="s">
        <v>543</v>
      </c>
      <c r="D308" t="s">
        <v>419</v>
      </c>
      <c r="E308" t="s">
        <v>53</v>
      </c>
      <c r="F308" t="s">
        <v>544</v>
      </c>
      <c r="G308" t="str">
        <f>"00216710"</f>
        <v>00216710</v>
      </c>
      <c r="H308" t="s">
        <v>285</v>
      </c>
      <c r="I308">
        <v>0</v>
      </c>
      <c r="J308">
        <v>70</v>
      </c>
      <c r="K308">
        <v>50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70</v>
      </c>
      <c r="S308">
        <v>490</v>
      </c>
      <c r="T308">
        <v>0</v>
      </c>
      <c r="V308">
        <v>0</v>
      </c>
      <c r="W308" t="s">
        <v>545</v>
      </c>
    </row>
    <row r="309" spans="1:23" x14ac:dyDescent="0.25">
      <c r="H309">
        <v>400</v>
      </c>
    </row>
    <row r="310" spans="1:23" x14ac:dyDescent="0.25">
      <c r="A310">
        <v>152</v>
      </c>
      <c r="B310">
        <v>1124</v>
      </c>
      <c r="C310" t="s">
        <v>546</v>
      </c>
      <c r="D310" t="s">
        <v>363</v>
      </c>
      <c r="E310" t="s">
        <v>485</v>
      </c>
      <c r="F310" t="s">
        <v>547</v>
      </c>
      <c r="G310" t="str">
        <f>"201406001871"</f>
        <v>201406001871</v>
      </c>
      <c r="H310">
        <v>1067</v>
      </c>
      <c r="I310">
        <v>0</v>
      </c>
      <c r="J310">
        <v>70</v>
      </c>
      <c r="K310">
        <v>30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53</v>
      </c>
      <c r="S310">
        <v>371</v>
      </c>
      <c r="T310">
        <v>0</v>
      </c>
      <c r="V310">
        <v>0</v>
      </c>
      <c r="W310">
        <v>1538</v>
      </c>
    </row>
    <row r="311" spans="1:23" x14ac:dyDescent="0.25">
      <c r="H311">
        <v>400</v>
      </c>
    </row>
    <row r="312" spans="1:23" x14ac:dyDescent="0.25">
      <c r="A312">
        <v>153</v>
      </c>
      <c r="B312">
        <v>276</v>
      </c>
      <c r="C312" t="s">
        <v>548</v>
      </c>
      <c r="D312" t="s">
        <v>192</v>
      </c>
      <c r="E312" t="s">
        <v>241</v>
      </c>
      <c r="F312" t="s">
        <v>549</v>
      </c>
      <c r="G312" t="str">
        <f>"201402011379"</f>
        <v>201402011379</v>
      </c>
      <c r="H312">
        <v>880</v>
      </c>
      <c r="I312">
        <v>0</v>
      </c>
      <c r="J312">
        <v>70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84</v>
      </c>
      <c r="S312">
        <v>588</v>
      </c>
      <c r="T312">
        <v>0</v>
      </c>
      <c r="V312">
        <v>0</v>
      </c>
      <c r="W312">
        <v>1538</v>
      </c>
    </row>
    <row r="313" spans="1:23" x14ac:dyDescent="0.25">
      <c r="H313">
        <v>400</v>
      </c>
    </row>
    <row r="314" spans="1:23" x14ac:dyDescent="0.25">
      <c r="A314">
        <v>154</v>
      </c>
      <c r="B314">
        <v>1279</v>
      </c>
      <c r="C314" t="s">
        <v>31</v>
      </c>
      <c r="D314" t="s">
        <v>343</v>
      </c>
      <c r="E314" t="s">
        <v>33</v>
      </c>
      <c r="F314" t="s">
        <v>550</v>
      </c>
      <c r="G314" t="str">
        <f>"00014897"</f>
        <v>00014897</v>
      </c>
      <c r="H314">
        <v>869</v>
      </c>
      <c r="I314">
        <v>0</v>
      </c>
      <c r="J314">
        <v>30</v>
      </c>
      <c r="K314">
        <v>0</v>
      </c>
      <c r="L314">
        <v>0</v>
      </c>
      <c r="M314">
        <v>50</v>
      </c>
      <c r="N314">
        <v>0</v>
      </c>
      <c r="O314">
        <v>0</v>
      </c>
      <c r="P314">
        <v>0</v>
      </c>
      <c r="Q314">
        <v>0</v>
      </c>
      <c r="R314">
        <v>84</v>
      </c>
      <c r="S314">
        <v>588</v>
      </c>
      <c r="T314">
        <v>0</v>
      </c>
      <c r="V314">
        <v>0</v>
      </c>
      <c r="W314">
        <v>1537</v>
      </c>
    </row>
    <row r="315" spans="1:23" x14ac:dyDescent="0.25">
      <c r="H315">
        <v>400</v>
      </c>
    </row>
    <row r="316" spans="1:23" x14ac:dyDescent="0.25">
      <c r="A316">
        <v>155</v>
      </c>
      <c r="B316">
        <v>655</v>
      </c>
      <c r="C316" t="s">
        <v>551</v>
      </c>
      <c r="D316" t="s">
        <v>552</v>
      </c>
      <c r="E316" t="s">
        <v>200</v>
      </c>
      <c r="F316" t="s">
        <v>553</v>
      </c>
      <c r="G316" t="str">
        <f>"201405002246"</f>
        <v>201405002246</v>
      </c>
      <c r="H316">
        <v>847</v>
      </c>
      <c r="I316">
        <v>150</v>
      </c>
      <c r="J316">
        <v>50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70</v>
      </c>
      <c r="S316">
        <v>490</v>
      </c>
      <c r="T316">
        <v>0</v>
      </c>
      <c r="V316">
        <v>0</v>
      </c>
      <c r="W316">
        <v>1537</v>
      </c>
    </row>
    <row r="317" spans="1:23" x14ac:dyDescent="0.25">
      <c r="H317">
        <v>400</v>
      </c>
    </row>
    <row r="318" spans="1:23" x14ac:dyDescent="0.25">
      <c r="A318">
        <v>156</v>
      </c>
      <c r="B318">
        <v>1304</v>
      </c>
      <c r="C318" t="s">
        <v>554</v>
      </c>
      <c r="D318" t="s">
        <v>163</v>
      </c>
      <c r="E318" t="s">
        <v>49</v>
      </c>
      <c r="F318" t="s">
        <v>555</v>
      </c>
      <c r="G318" t="str">
        <f>"200712000197"</f>
        <v>200712000197</v>
      </c>
      <c r="H318" t="s">
        <v>114</v>
      </c>
      <c r="I318">
        <v>0</v>
      </c>
      <c r="J318">
        <v>30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84</v>
      </c>
      <c r="S318">
        <v>588</v>
      </c>
      <c r="T318">
        <v>0</v>
      </c>
      <c r="V318">
        <v>0</v>
      </c>
      <c r="W318" t="s">
        <v>556</v>
      </c>
    </row>
    <row r="319" spans="1:23" x14ac:dyDescent="0.25">
      <c r="H319">
        <v>400</v>
      </c>
    </row>
    <row r="320" spans="1:23" x14ac:dyDescent="0.25">
      <c r="A320">
        <v>157</v>
      </c>
      <c r="B320">
        <v>114</v>
      </c>
      <c r="C320" t="s">
        <v>557</v>
      </c>
      <c r="D320" t="s">
        <v>558</v>
      </c>
      <c r="E320" t="s">
        <v>15</v>
      </c>
      <c r="F320" t="s">
        <v>559</v>
      </c>
      <c r="G320" t="str">
        <f>"00217716"</f>
        <v>00217716</v>
      </c>
      <c r="H320">
        <v>1100</v>
      </c>
      <c r="I320">
        <v>0</v>
      </c>
      <c r="J320">
        <v>30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58</v>
      </c>
      <c r="S320">
        <v>406</v>
      </c>
      <c r="T320">
        <v>0</v>
      </c>
      <c r="V320">
        <v>1</v>
      </c>
      <c r="W320">
        <v>1536</v>
      </c>
    </row>
    <row r="321" spans="1:23" x14ac:dyDescent="0.25">
      <c r="H321">
        <v>400</v>
      </c>
    </row>
    <row r="322" spans="1:23" x14ac:dyDescent="0.25">
      <c r="A322">
        <v>158</v>
      </c>
      <c r="B322">
        <v>827</v>
      </c>
      <c r="C322" t="s">
        <v>560</v>
      </c>
      <c r="D322" t="s">
        <v>125</v>
      </c>
      <c r="E322" t="s">
        <v>291</v>
      </c>
      <c r="F322" t="s">
        <v>561</v>
      </c>
      <c r="G322" t="str">
        <f>"00214920"</f>
        <v>00214920</v>
      </c>
      <c r="H322">
        <v>1045</v>
      </c>
      <c r="I322">
        <v>0</v>
      </c>
      <c r="J322">
        <v>70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60</v>
      </c>
      <c r="S322">
        <v>420</v>
      </c>
      <c r="T322">
        <v>0</v>
      </c>
      <c r="V322">
        <v>0</v>
      </c>
      <c r="W322">
        <v>1535</v>
      </c>
    </row>
    <row r="323" spans="1:23" x14ac:dyDescent="0.25">
      <c r="H323">
        <v>400</v>
      </c>
    </row>
    <row r="324" spans="1:23" x14ac:dyDescent="0.25">
      <c r="A324">
        <v>159</v>
      </c>
      <c r="B324">
        <v>439</v>
      </c>
      <c r="C324" t="s">
        <v>562</v>
      </c>
      <c r="D324" t="s">
        <v>563</v>
      </c>
      <c r="E324" t="s">
        <v>263</v>
      </c>
      <c r="F324" t="s">
        <v>564</v>
      </c>
      <c r="G324" t="str">
        <f>"201409003860"</f>
        <v>201409003860</v>
      </c>
      <c r="H324">
        <v>1012</v>
      </c>
      <c r="I324">
        <v>150</v>
      </c>
      <c r="J324">
        <v>70</v>
      </c>
      <c r="K324">
        <v>0</v>
      </c>
      <c r="L324">
        <v>30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39</v>
      </c>
      <c r="S324">
        <v>273</v>
      </c>
      <c r="T324">
        <v>0</v>
      </c>
      <c r="V324">
        <v>0</v>
      </c>
      <c r="W324">
        <v>1535</v>
      </c>
    </row>
    <row r="325" spans="1:23" x14ac:dyDescent="0.25">
      <c r="H325">
        <v>400</v>
      </c>
    </row>
    <row r="326" spans="1:23" x14ac:dyDescent="0.25">
      <c r="A326">
        <v>160</v>
      </c>
      <c r="B326">
        <v>412</v>
      </c>
      <c r="C326" t="s">
        <v>565</v>
      </c>
      <c r="D326" t="s">
        <v>15</v>
      </c>
      <c r="E326" t="s">
        <v>158</v>
      </c>
      <c r="F326" t="s">
        <v>566</v>
      </c>
      <c r="G326" t="str">
        <f>"201506000213"</f>
        <v>201506000213</v>
      </c>
      <c r="H326" t="s">
        <v>567</v>
      </c>
      <c r="I326">
        <v>0</v>
      </c>
      <c r="J326">
        <v>30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59</v>
      </c>
      <c r="S326">
        <v>413</v>
      </c>
      <c r="T326">
        <v>0</v>
      </c>
      <c r="V326">
        <v>0</v>
      </c>
      <c r="W326" t="s">
        <v>568</v>
      </c>
    </row>
    <row r="327" spans="1:23" x14ac:dyDescent="0.25">
      <c r="H327">
        <v>400</v>
      </c>
    </row>
    <row r="328" spans="1:23" x14ac:dyDescent="0.25">
      <c r="A328">
        <v>161</v>
      </c>
      <c r="B328">
        <v>1687</v>
      </c>
      <c r="C328" t="s">
        <v>569</v>
      </c>
      <c r="D328" t="s">
        <v>157</v>
      </c>
      <c r="E328" t="s">
        <v>570</v>
      </c>
      <c r="F328" t="s">
        <v>571</v>
      </c>
      <c r="G328" t="str">
        <f>"201406013276"</f>
        <v>201406013276</v>
      </c>
      <c r="H328">
        <v>902</v>
      </c>
      <c r="I328">
        <v>0</v>
      </c>
      <c r="J328">
        <v>70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80</v>
      </c>
      <c r="S328">
        <v>560</v>
      </c>
      <c r="T328">
        <v>0</v>
      </c>
      <c r="V328">
        <v>0</v>
      </c>
      <c r="W328">
        <v>1532</v>
      </c>
    </row>
    <row r="329" spans="1:23" x14ac:dyDescent="0.25">
      <c r="H329">
        <v>400</v>
      </c>
    </row>
    <row r="330" spans="1:23" x14ac:dyDescent="0.25">
      <c r="A330">
        <v>162</v>
      </c>
      <c r="B330">
        <v>59</v>
      </c>
      <c r="C330" t="s">
        <v>572</v>
      </c>
      <c r="D330" t="s">
        <v>573</v>
      </c>
      <c r="E330" t="s">
        <v>291</v>
      </c>
      <c r="F330" t="s">
        <v>574</v>
      </c>
      <c r="G330" t="str">
        <f>"201412003044"</f>
        <v>201412003044</v>
      </c>
      <c r="H330" t="s">
        <v>41</v>
      </c>
      <c r="I330">
        <v>0</v>
      </c>
      <c r="J330">
        <v>70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65</v>
      </c>
      <c r="S330">
        <v>455</v>
      </c>
      <c r="T330">
        <v>0</v>
      </c>
      <c r="V330">
        <v>0</v>
      </c>
      <c r="W330" t="s">
        <v>575</v>
      </c>
    </row>
    <row r="331" spans="1:23" x14ac:dyDescent="0.25">
      <c r="H331">
        <v>400</v>
      </c>
    </row>
    <row r="332" spans="1:23" x14ac:dyDescent="0.25">
      <c r="A332">
        <v>163</v>
      </c>
      <c r="B332">
        <v>318</v>
      </c>
      <c r="C332" t="s">
        <v>576</v>
      </c>
      <c r="D332" t="s">
        <v>74</v>
      </c>
      <c r="E332" t="s">
        <v>523</v>
      </c>
      <c r="F332" t="s">
        <v>577</v>
      </c>
      <c r="G332" t="str">
        <f>"201402010522"</f>
        <v>201402010522</v>
      </c>
      <c r="H332" t="s">
        <v>41</v>
      </c>
      <c r="I332">
        <v>0</v>
      </c>
      <c r="J332">
        <v>70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65</v>
      </c>
      <c r="S332">
        <v>455</v>
      </c>
      <c r="T332">
        <v>0</v>
      </c>
      <c r="V332">
        <v>0</v>
      </c>
      <c r="W332" t="s">
        <v>575</v>
      </c>
    </row>
    <row r="333" spans="1:23" x14ac:dyDescent="0.25">
      <c r="H333">
        <v>400</v>
      </c>
    </row>
    <row r="334" spans="1:23" x14ac:dyDescent="0.25">
      <c r="A334">
        <v>164</v>
      </c>
      <c r="B334">
        <v>488</v>
      </c>
      <c r="C334" t="s">
        <v>578</v>
      </c>
      <c r="D334" t="s">
        <v>462</v>
      </c>
      <c r="E334" t="s">
        <v>579</v>
      </c>
      <c r="F334" t="s">
        <v>580</v>
      </c>
      <c r="G334" t="str">
        <f>"201402003902"</f>
        <v>201402003902</v>
      </c>
      <c r="H334">
        <v>880</v>
      </c>
      <c r="I334">
        <v>0</v>
      </c>
      <c r="J334">
        <v>70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83</v>
      </c>
      <c r="S334">
        <v>581</v>
      </c>
      <c r="T334">
        <v>0</v>
      </c>
      <c r="V334">
        <v>0</v>
      </c>
      <c r="W334">
        <v>1531</v>
      </c>
    </row>
    <row r="335" spans="1:23" x14ac:dyDescent="0.25">
      <c r="H335">
        <v>400</v>
      </c>
    </row>
    <row r="336" spans="1:23" x14ac:dyDescent="0.25">
      <c r="A336">
        <v>165</v>
      </c>
      <c r="B336">
        <v>1136</v>
      </c>
      <c r="C336" t="s">
        <v>581</v>
      </c>
      <c r="D336" t="s">
        <v>20</v>
      </c>
      <c r="E336" t="s">
        <v>582</v>
      </c>
      <c r="F336" t="s">
        <v>583</v>
      </c>
      <c r="G336" t="str">
        <f>"201406002330"</f>
        <v>201406002330</v>
      </c>
      <c r="H336">
        <v>935</v>
      </c>
      <c r="I336">
        <v>150</v>
      </c>
      <c r="J336">
        <v>70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50</v>
      </c>
      <c r="Q336">
        <v>50</v>
      </c>
      <c r="R336">
        <v>39</v>
      </c>
      <c r="S336">
        <v>273</v>
      </c>
      <c r="T336">
        <v>0</v>
      </c>
      <c r="V336">
        <v>0</v>
      </c>
      <c r="W336">
        <v>1528</v>
      </c>
    </row>
    <row r="337" spans="1:23" x14ac:dyDescent="0.25">
      <c r="H337">
        <v>400</v>
      </c>
    </row>
    <row r="338" spans="1:23" x14ac:dyDescent="0.25">
      <c r="A338">
        <v>166</v>
      </c>
      <c r="B338">
        <v>98</v>
      </c>
      <c r="C338" t="s">
        <v>584</v>
      </c>
      <c r="D338" t="s">
        <v>585</v>
      </c>
      <c r="E338" t="s">
        <v>15</v>
      </c>
      <c r="F338" t="s">
        <v>586</v>
      </c>
      <c r="G338" t="str">
        <f>"00147371"</f>
        <v>00147371</v>
      </c>
      <c r="H338">
        <v>902</v>
      </c>
      <c r="I338">
        <v>150</v>
      </c>
      <c r="J338">
        <v>70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58</v>
      </c>
      <c r="S338">
        <v>406</v>
      </c>
      <c r="T338">
        <v>0</v>
      </c>
      <c r="V338">
        <v>0</v>
      </c>
      <c r="W338">
        <v>1528</v>
      </c>
    </row>
    <row r="339" spans="1:23" x14ac:dyDescent="0.25">
      <c r="H339">
        <v>400</v>
      </c>
    </row>
    <row r="340" spans="1:23" x14ac:dyDescent="0.25">
      <c r="A340">
        <v>167</v>
      </c>
      <c r="B340">
        <v>66</v>
      </c>
      <c r="C340" t="s">
        <v>587</v>
      </c>
      <c r="D340" t="s">
        <v>106</v>
      </c>
      <c r="E340" t="s">
        <v>21</v>
      </c>
      <c r="F340" t="s">
        <v>588</v>
      </c>
      <c r="G340" t="str">
        <f>"00214621"</f>
        <v>00214621</v>
      </c>
      <c r="H340">
        <v>869</v>
      </c>
      <c r="I340">
        <v>0</v>
      </c>
      <c r="J340">
        <v>70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84</v>
      </c>
      <c r="S340">
        <v>588</v>
      </c>
      <c r="T340">
        <v>0</v>
      </c>
      <c r="V340">
        <v>0</v>
      </c>
      <c r="W340">
        <v>1527</v>
      </c>
    </row>
    <row r="341" spans="1:23" x14ac:dyDescent="0.25">
      <c r="H341">
        <v>400</v>
      </c>
    </row>
    <row r="342" spans="1:23" x14ac:dyDescent="0.25">
      <c r="A342">
        <v>168</v>
      </c>
      <c r="B342">
        <v>1217</v>
      </c>
      <c r="C342" t="s">
        <v>589</v>
      </c>
      <c r="D342" t="s">
        <v>363</v>
      </c>
      <c r="E342" t="s">
        <v>195</v>
      </c>
      <c r="F342" t="s">
        <v>590</v>
      </c>
      <c r="G342" t="str">
        <f>"201303000414"</f>
        <v>201303000414</v>
      </c>
      <c r="H342">
        <v>957</v>
      </c>
      <c r="I342">
        <v>0</v>
      </c>
      <c r="J342">
        <v>70</v>
      </c>
      <c r="K342">
        <v>30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67</v>
      </c>
      <c r="S342">
        <v>469</v>
      </c>
      <c r="T342">
        <v>0</v>
      </c>
      <c r="V342">
        <v>0</v>
      </c>
      <c r="W342">
        <v>1526</v>
      </c>
    </row>
    <row r="343" spans="1:23" x14ac:dyDescent="0.25">
      <c r="H343">
        <v>400</v>
      </c>
    </row>
    <row r="344" spans="1:23" x14ac:dyDescent="0.25">
      <c r="A344">
        <v>169</v>
      </c>
      <c r="B344">
        <v>1012</v>
      </c>
      <c r="C344" t="s">
        <v>591</v>
      </c>
      <c r="D344" t="s">
        <v>27</v>
      </c>
      <c r="E344" t="s">
        <v>59</v>
      </c>
      <c r="F344" t="s">
        <v>592</v>
      </c>
      <c r="G344" t="str">
        <f>"201407000074"</f>
        <v>201407000074</v>
      </c>
      <c r="H344" t="s">
        <v>459</v>
      </c>
      <c r="I344">
        <v>0</v>
      </c>
      <c r="J344">
        <v>30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84</v>
      </c>
      <c r="S344">
        <v>588</v>
      </c>
      <c r="T344">
        <v>0</v>
      </c>
      <c r="V344">
        <v>0</v>
      </c>
      <c r="W344" t="s">
        <v>593</v>
      </c>
    </row>
    <row r="345" spans="1:23" x14ac:dyDescent="0.25">
      <c r="H345">
        <v>400</v>
      </c>
    </row>
    <row r="346" spans="1:23" x14ac:dyDescent="0.25">
      <c r="A346">
        <v>170</v>
      </c>
      <c r="B346">
        <v>728</v>
      </c>
      <c r="C346" t="s">
        <v>594</v>
      </c>
      <c r="D346" t="s">
        <v>20</v>
      </c>
      <c r="E346" t="s">
        <v>15</v>
      </c>
      <c r="F346" t="s">
        <v>595</v>
      </c>
      <c r="G346" t="str">
        <f>"201402003743"</f>
        <v>201402003743</v>
      </c>
      <c r="H346">
        <v>1056</v>
      </c>
      <c r="I346">
        <v>0</v>
      </c>
      <c r="J346">
        <v>70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57</v>
      </c>
      <c r="S346">
        <v>399</v>
      </c>
      <c r="T346">
        <v>0</v>
      </c>
      <c r="V346">
        <v>0</v>
      </c>
      <c r="W346">
        <v>1525</v>
      </c>
    </row>
    <row r="347" spans="1:23" x14ac:dyDescent="0.25">
      <c r="H347">
        <v>400</v>
      </c>
    </row>
    <row r="348" spans="1:23" x14ac:dyDescent="0.25">
      <c r="A348">
        <v>171</v>
      </c>
      <c r="B348">
        <v>422</v>
      </c>
      <c r="C348" t="s">
        <v>596</v>
      </c>
      <c r="D348" t="s">
        <v>71</v>
      </c>
      <c r="E348" t="s">
        <v>209</v>
      </c>
      <c r="F348" t="s">
        <v>597</v>
      </c>
      <c r="G348" t="str">
        <f>"00216994"</f>
        <v>00216994</v>
      </c>
      <c r="H348">
        <v>715</v>
      </c>
      <c r="I348">
        <v>150</v>
      </c>
      <c r="J348">
        <v>70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84</v>
      </c>
      <c r="S348">
        <v>588</v>
      </c>
      <c r="T348">
        <v>0</v>
      </c>
      <c r="V348">
        <v>0</v>
      </c>
      <c r="W348">
        <v>1523</v>
      </c>
    </row>
    <row r="349" spans="1:23" x14ac:dyDescent="0.25">
      <c r="H349">
        <v>400</v>
      </c>
    </row>
    <row r="350" spans="1:23" x14ac:dyDescent="0.25">
      <c r="A350">
        <v>172</v>
      </c>
      <c r="B350">
        <v>1826</v>
      </c>
      <c r="C350" t="s">
        <v>598</v>
      </c>
      <c r="D350" t="s">
        <v>171</v>
      </c>
      <c r="E350" t="s">
        <v>599</v>
      </c>
      <c r="F350" t="s">
        <v>600</v>
      </c>
      <c r="G350" t="str">
        <f>"201410006660"</f>
        <v>201410006660</v>
      </c>
      <c r="H350">
        <v>1067</v>
      </c>
      <c r="I350">
        <v>0</v>
      </c>
      <c r="J350">
        <v>70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55</v>
      </c>
      <c r="S350">
        <v>385</v>
      </c>
      <c r="T350">
        <v>0</v>
      </c>
      <c r="V350">
        <v>0</v>
      </c>
      <c r="W350">
        <v>1522</v>
      </c>
    </row>
    <row r="351" spans="1:23" x14ac:dyDescent="0.25">
      <c r="H351">
        <v>400</v>
      </c>
    </row>
    <row r="352" spans="1:23" x14ac:dyDescent="0.25">
      <c r="A352">
        <v>173</v>
      </c>
      <c r="B352">
        <v>26</v>
      </c>
      <c r="C352" t="s">
        <v>601</v>
      </c>
      <c r="D352" t="s">
        <v>401</v>
      </c>
      <c r="E352" t="s">
        <v>15</v>
      </c>
      <c r="F352" t="s">
        <v>602</v>
      </c>
      <c r="G352" t="str">
        <f>"00198790"</f>
        <v>00198790</v>
      </c>
      <c r="H352" t="s">
        <v>603</v>
      </c>
      <c r="I352">
        <v>150</v>
      </c>
      <c r="J352">
        <v>70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64</v>
      </c>
      <c r="S352">
        <v>448</v>
      </c>
      <c r="T352">
        <v>0</v>
      </c>
      <c r="V352">
        <v>0</v>
      </c>
      <c r="W352" t="s">
        <v>604</v>
      </c>
    </row>
    <row r="353" spans="1:23" x14ac:dyDescent="0.25">
      <c r="H353">
        <v>400</v>
      </c>
    </row>
    <row r="354" spans="1:23" x14ac:dyDescent="0.25">
      <c r="A354">
        <v>174</v>
      </c>
      <c r="B354">
        <v>270</v>
      </c>
      <c r="C354" t="s">
        <v>605</v>
      </c>
      <c r="D354" t="s">
        <v>180</v>
      </c>
      <c r="E354" t="s">
        <v>33</v>
      </c>
      <c r="F354" t="s">
        <v>606</v>
      </c>
      <c r="G354" t="str">
        <f>"201402005934"</f>
        <v>201402005934</v>
      </c>
      <c r="H354">
        <v>946</v>
      </c>
      <c r="I354">
        <v>0</v>
      </c>
      <c r="J354">
        <v>70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72</v>
      </c>
      <c r="S354">
        <v>504</v>
      </c>
      <c r="T354">
        <v>0</v>
      </c>
      <c r="V354">
        <v>1</v>
      </c>
      <c r="W354">
        <v>1520</v>
      </c>
    </row>
    <row r="355" spans="1:23" x14ac:dyDescent="0.25">
      <c r="H355">
        <v>400</v>
      </c>
    </row>
    <row r="356" spans="1:23" x14ac:dyDescent="0.25">
      <c r="A356">
        <v>175</v>
      </c>
      <c r="B356">
        <v>1770</v>
      </c>
      <c r="C356" t="s">
        <v>607</v>
      </c>
      <c r="D356" t="s">
        <v>180</v>
      </c>
      <c r="E356" t="s">
        <v>608</v>
      </c>
      <c r="F356" t="s">
        <v>609</v>
      </c>
      <c r="G356" t="str">
        <f>"201402010711"</f>
        <v>201402010711</v>
      </c>
      <c r="H356">
        <v>902</v>
      </c>
      <c r="I356">
        <v>0</v>
      </c>
      <c r="J356">
        <v>30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84</v>
      </c>
      <c r="S356">
        <v>588</v>
      </c>
      <c r="T356">
        <v>0</v>
      </c>
      <c r="V356">
        <v>1</v>
      </c>
      <c r="W356">
        <v>1520</v>
      </c>
    </row>
    <row r="357" spans="1:23" x14ac:dyDescent="0.25">
      <c r="H357">
        <v>400</v>
      </c>
    </row>
    <row r="358" spans="1:23" x14ac:dyDescent="0.25">
      <c r="A358">
        <v>176</v>
      </c>
      <c r="B358">
        <v>298</v>
      </c>
      <c r="C358" t="s">
        <v>591</v>
      </c>
      <c r="D358" t="s">
        <v>610</v>
      </c>
      <c r="E358" t="s">
        <v>106</v>
      </c>
      <c r="F358" t="s">
        <v>611</v>
      </c>
      <c r="G358" t="str">
        <f>"201412002371"</f>
        <v>201412002371</v>
      </c>
      <c r="H358" t="s">
        <v>194</v>
      </c>
      <c r="I358">
        <v>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75</v>
      </c>
      <c r="S358">
        <v>525</v>
      </c>
      <c r="T358">
        <v>0</v>
      </c>
      <c r="V358">
        <v>0</v>
      </c>
      <c r="W358" t="s">
        <v>612</v>
      </c>
    </row>
    <row r="359" spans="1:23" x14ac:dyDescent="0.25">
      <c r="H359">
        <v>400</v>
      </c>
    </row>
    <row r="360" spans="1:23" x14ac:dyDescent="0.25">
      <c r="A360">
        <v>177</v>
      </c>
      <c r="B360">
        <v>791</v>
      </c>
      <c r="C360" t="s">
        <v>613</v>
      </c>
      <c r="D360" t="s">
        <v>27</v>
      </c>
      <c r="E360" t="s">
        <v>608</v>
      </c>
      <c r="F360" t="s">
        <v>614</v>
      </c>
      <c r="G360" t="str">
        <f>"201504004787"</f>
        <v>201504004787</v>
      </c>
      <c r="H360">
        <v>748</v>
      </c>
      <c r="I360">
        <v>150</v>
      </c>
      <c r="J360">
        <v>30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84</v>
      </c>
      <c r="S360">
        <v>588</v>
      </c>
      <c r="T360">
        <v>0</v>
      </c>
      <c r="V360">
        <v>0</v>
      </c>
      <c r="W360">
        <v>1516</v>
      </c>
    </row>
    <row r="361" spans="1:23" x14ac:dyDescent="0.25">
      <c r="H361">
        <v>400</v>
      </c>
    </row>
    <row r="362" spans="1:23" x14ac:dyDescent="0.25">
      <c r="A362">
        <v>178</v>
      </c>
      <c r="B362">
        <v>413</v>
      </c>
      <c r="C362" t="s">
        <v>615</v>
      </c>
      <c r="D362" t="s">
        <v>616</v>
      </c>
      <c r="E362" t="s">
        <v>71</v>
      </c>
      <c r="F362" t="s">
        <v>617</v>
      </c>
      <c r="G362" t="str">
        <f>"201303000025"</f>
        <v>201303000025</v>
      </c>
      <c r="H362" t="s">
        <v>35</v>
      </c>
      <c r="I362">
        <v>0</v>
      </c>
      <c r="J362">
        <v>70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58</v>
      </c>
      <c r="S362">
        <v>406</v>
      </c>
      <c r="T362">
        <v>0</v>
      </c>
      <c r="V362">
        <v>0</v>
      </c>
      <c r="W362" t="s">
        <v>618</v>
      </c>
    </row>
    <row r="363" spans="1:23" x14ac:dyDescent="0.25">
      <c r="H363">
        <v>400</v>
      </c>
    </row>
    <row r="364" spans="1:23" x14ac:dyDescent="0.25">
      <c r="A364">
        <v>179</v>
      </c>
      <c r="B364">
        <v>941</v>
      </c>
      <c r="C364" t="s">
        <v>619</v>
      </c>
      <c r="D364" t="s">
        <v>620</v>
      </c>
      <c r="E364" t="s">
        <v>621</v>
      </c>
      <c r="F364" t="s">
        <v>622</v>
      </c>
      <c r="G364" t="str">
        <f>"00156112"</f>
        <v>00156112</v>
      </c>
      <c r="H364" t="s">
        <v>394</v>
      </c>
      <c r="I364">
        <v>0</v>
      </c>
      <c r="J364">
        <v>30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84</v>
      </c>
      <c r="S364">
        <v>588</v>
      </c>
      <c r="T364">
        <v>0</v>
      </c>
      <c r="V364">
        <v>0</v>
      </c>
      <c r="W364" t="s">
        <v>623</v>
      </c>
    </row>
    <row r="365" spans="1:23" x14ac:dyDescent="0.25">
      <c r="H365">
        <v>400</v>
      </c>
    </row>
    <row r="366" spans="1:23" x14ac:dyDescent="0.25">
      <c r="A366">
        <v>180</v>
      </c>
      <c r="B366">
        <v>1080</v>
      </c>
      <c r="C366" t="s">
        <v>624</v>
      </c>
      <c r="D366" t="s">
        <v>625</v>
      </c>
      <c r="E366" t="s">
        <v>15</v>
      </c>
      <c r="F366" t="s">
        <v>626</v>
      </c>
      <c r="G366" t="str">
        <f>"201412006216"</f>
        <v>201412006216</v>
      </c>
      <c r="H366">
        <v>979</v>
      </c>
      <c r="I366">
        <v>0</v>
      </c>
      <c r="J366">
        <v>70</v>
      </c>
      <c r="K366">
        <v>50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55</v>
      </c>
      <c r="S366">
        <v>385</v>
      </c>
      <c r="T366">
        <v>0</v>
      </c>
      <c r="V366">
        <v>0</v>
      </c>
      <c r="W366">
        <v>1514</v>
      </c>
    </row>
    <row r="367" spans="1:23" x14ac:dyDescent="0.25">
      <c r="H367">
        <v>400</v>
      </c>
    </row>
    <row r="368" spans="1:23" x14ac:dyDescent="0.25">
      <c r="A368">
        <v>181</v>
      </c>
      <c r="B368">
        <v>1854</v>
      </c>
      <c r="C368" t="s">
        <v>627</v>
      </c>
      <c r="D368" t="s">
        <v>192</v>
      </c>
      <c r="E368" t="s">
        <v>369</v>
      </c>
      <c r="F368" t="s">
        <v>628</v>
      </c>
      <c r="G368" t="str">
        <f>"00124282"</f>
        <v>00124282</v>
      </c>
      <c r="H368">
        <v>825</v>
      </c>
      <c r="I368">
        <v>0</v>
      </c>
      <c r="J368">
        <v>30</v>
      </c>
      <c r="K368">
        <v>70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84</v>
      </c>
      <c r="S368">
        <v>588</v>
      </c>
      <c r="T368">
        <v>0</v>
      </c>
      <c r="V368">
        <v>1</v>
      </c>
      <c r="W368">
        <v>1513</v>
      </c>
    </row>
    <row r="369" spans="1:23" x14ac:dyDescent="0.25">
      <c r="H369">
        <v>400</v>
      </c>
    </row>
    <row r="370" spans="1:23" x14ac:dyDescent="0.25">
      <c r="A370">
        <v>182</v>
      </c>
      <c r="B370">
        <v>642</v>
      </c>
      <c r="C370" t="s">
        <v>629</v>
      </c>
      <c r="D370" t="s">
        <v>630</v>
      </c>
      <c r="E370" t="s">
        <v>467</v>
      </c>
      <c r="F370" t="s">
        <v>631</v>
      </c>
      <c r="G370" t="str">
        <f>"00119800"</f>
        <v>00119800</v>
      </c>
      <c r="H370" t="s">
        <v>632</v>
      </c>
      <c r="I370">
        <v>150</v>
      </c>
      <c r="J370">
        <v>70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42</v>
      </c>
      <c r="S370">
        <v>294</v>
      </c>
      <c r="T370">
        <v>0</v>
      </c>
      <c r="V370">
        <v>0</v>
      </c>
      <c r="W370" t="s">
        <v>633</v>
      </c>
    </row>
    <row r="371" spans="1:23" x14ac:dyDescent="0.25">
      <c r="H371">
        <v>400</v>
      </c>
    </row>
    <row r="372" spans="1:23" x14ac:dyDescent="0.25">
      <c r="A372">
        <v>183</v>
      </c>
      <c r="B372">
        <v>826</v>
      </c>
      <c r="C372" t="s">
        <v>560</v>
      </c>
      <c r="D372" t="s">
        <v>634</v>
      </c>
      <c r="E372" t="s">
        <v>291</v>
      </c>
      <c r="F372" t="s">
        <v>635</v>
      </c>
      <c r="G372" t="str">
        <f>"00215449"</f>
        <v>00215449</v>
      </c>
      <c r="H372" t="s">
        <v>603</v>
      </c>
      <c r="I372">
        <v>0</v>
      </c>
      <c r="J372">
        <v>70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84</v>
      </c>
      <c r="S372">
        <v>588</v>
      </c>
      <c r="T372">
        <v>0</v>
      </c>
      <c r="V372">
        <v>0</v>
      </c>
      <c r="W372" t="s">
        <v>636</v>
      </c>
    </row>
    <row r="373" spans="1:23" x14ac:dyDescent="0.25">
      <c r="H373">
        <v>400</v>
      </c>
    </row>
    <row r="374" spans="1:23" x14ac:dyDescent="0.25">
      <c r="A374">
        <v>184</v>
      </c>
      <c r="B374">
        <v>1075</v>
      </c>
      <c r="C374" t="s">
        <v>637</v>
      </c>
      <c r="D374" t="s">
        <v>638</v>
      </c>
      <c r="E374" t="s">
        <v>209</v>
      </c>
      <c r="F374" t="s">
        <v>639</v>
      </c>
      <c r="G374" t="str">
        <f>"00145142"</f>
        <v>00145142</v>
      </c>
      <c r="H374" t="s">
        <v>603</v>
      </c>
      <c r="I374">
        <v>0</v>
      </c>
      <c r="J374">
        <v>70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84</v>
      </c>
      <c r="S374">
        <v>588</v>
      </c>
      <c r="T374">
        <v>0</v>
      </c>
      <c r="V374">
        <v>0</v>
      </c>
      <c r="W374" t="s">
        <v>636</v>
      </c>
    </row>
    <row r="375" spans="1:23" x14ac:dyDescent="0.25">
      <c r="H375">
        <v>400</v>
      </c>
    </row>
    <row r="376" spans="1:23" x14ac:dyDescent="0.25">
      <c r="A376">
        <v>185</v>
      </c>
      <c r="B376">
        <v>652</v>
      </c>
      <c r="C376" t="s">
        <v>640</v>
      </c>
      <c r="D376" t="s">
        <v>641</v>
      </c>
      <c r="E376" t="s">
        <v>15</v>
      </c>
      <c r="F376" t="s">
        <v>642</v>
      </c>
      <c r="G376" t="str">
        <f>"00143079"</f>
        <v>00143079</v>
      </c>
      <c r="H376" t="s">
        <v>643</v>
      </c>
      <c r="I376">
        <v>150</v>
      </c>
      <c r="J376">
        <v>30</v>
      </c>
      <c r="K376">
        <v>30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84</v>
      </c>
      <c r="S376">
        <v>588</v>
      </c>
      <c r="T376">
        <v>0</v>
      </c>
      <c r="V376">
        <v>0</v>
      </c>
      <c r="W376" t="s">
        <v>644</v>
      </c>
    </row>
    <row r="377" spans="1:23" x14ac:dyDescent="0.25">
      <c r="H377">
        <v>400</v>
      </c>
    </row>
    <row r="378" spans="1:23" x14ac:dyDescent="0.25">
      <c r="A378">
        <v>186</v>
      </c>
      <c r="B378">
        <v>322</v>
      </c>
      <c r="C378" t="s">
        <v>645</v>
      </c>
      <c r="D378" t="s">
        <v>251</v>
      </c>
      <c r="E378" t="s">
        <v>163</v>
      </c>
      <c r="F378" t="s">
        <v>646</v>
      </c>
      <c r="G378" t="str">
        <f>"201406015895"</f>
        <v>201406015895</v>
      </c>
      <c r="H378">
        <v>836</v>
      </c>
      <c r="I378">
        <v>150</v>
      </c>
      <c r="J378">
        <v>50</v>
      </c>
      <c r="K378">
        <v>30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63</v>
      </c>
      <c r="S378">
        <v>441</v>
      </c>
      <c r="T378">
        <v>0</v>
      </c>
      <c r="V378">
        <v>0</v>
      </c>
      <c r="W378">
        <v>1507</v>
      </c>
    </row>
    <row r="379" spans="1:23" x14ac:dyDescent="0.25">
      <c r="H379">
        <v>400</v>
      </c>
    </row>
    <row r="380" spans="1:23" x14ac:dyDescent="0.25">
      <c r="A380">
        <v>187</v>
      </c>
      <c r="B380">
        <v>541</v>
      </c>
      <c r="C380" t="s">
        <v>647</v>
      </c>
      <c r="D380" t="s">
        <v>610</v>
      </c>
      <c r="E380" t="s">
        <v>476</v>
      </c>
      <c r="F380" t="s">
        <v>648</v>
      </c>
      <c r="G380" t="str">
        <f>"00214850"</f>
        <v>00214850</v>
      </c>
      <c r="H380" t="s">
        <v>437</v>
      </c>
      <c r="I380">
        <v>0</v>
      </c>
      <c r="J380">
        <v>30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84</v>
      </c>
      <c r="S380">
        <v>588</v>
      </c>
      <c r="T380">
        <v>0</v>
      </c>
      <c r="V380">
        <v>0</v>
      </c>
      <c r="W380" t="s">
        <v>649</v>
      </c>
    </row>
    <row r="381" spans="1:23" x14ac:dyDescent="0.25">
      <c r="H381">
        <v>400</v>
      </c>
    </row>
    <row r="382" spans="1:23" x14ac:dyDescent="0.25">
      <c r="A382">
        <v>188</v>
      </c>
      <c r="B382">
        <v>82</v>
      </c>
      <c r="C382" t="s">
        <v>650</v>
      </c>
      <c r="D382" t="s">
        <v>651</v>
      </c>
      <c r="E382" t="s">
        <v>27</v>
      </c>
      <c r="F382" t="s">
        <v>652</v>
      </c>
      <c r="G382" t="str">
        <f>"00217388"</f>
        <v>00217388</v>
      </c>
      <c r="H382" t="s">
        <v>437</v>
      </c>
      <c r="I382">
        <v>0</v>
      </c>
      <c r="J382">
        <v>30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84</v>
      </c>
      <c r="S382">
        <v>588</v>
      </c>
      <c r="T382">
        <v>0</v>
      </c>
      <c r="V382">
        <v>1</v>
      </c>
      <c r="W382" t="s">
        <v>649</v>
      </c>
    </row>
    <row r="383" spans="1:23" x14ac:dyDescent="0.25">
      <c r="H383">
        <v>400</v>
      </c>
    </row>
    <row r="384" spans="1:23" x14ac:dyDescent="0.25">
      <c r="A384">
        <v>189</v>
      </c>
      <c r="B384">
        <v>39</v>
      </c>
      <c r="C384" t="s">
        <v>653</v>
      </c>
      <c r="D384" t="s">
        <v>313</v>
      </c>
      <c r="E384" t="s">
        <v>209</v>
      </c>
      <c r="F384" t="s">
        <v>654</v>
      </c>
      <c r="G384" t="str">
        <f>"201406017424"</f>
        <v>201406017424</v>
      </c>
      <c r="H384">
        <v>935</v>
      </c>
      <c r="I384">
        <v>0</v>
      </c>
      <c r="J384">
        <v>50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74</v>
      </c>
      <c r="S384">
        <v>518</v>
      </c>
      <c r="T384">
        <v>0</v>
      </c>
      <c r="V384">
        <v>0</v>
      </c>
      <c r="W384">
        <v>1503</v>
      </c>
    </row>
    <row r="385" spans="1:23" x14ac:dyDescent="0.25">
      <c r="H385">
        <v>400</v>
      </c>
    </row>
    <row r="386" spans="1:23" x14ac:dyDescent="0.25">
      <c r="A386">
        <v>190</v>
      </c>
      <c r="B386">
        <v>339</v>
      </c>
      <c r="C386" t="s">
        <v>655</v>
      </c>
      <c r="D386" t="s">
        <v>158</v>
      </c>
      <c r="E386" t="s">
        <v>71</v>
      </c>
      <c r="F386" t="s">
        <v>656</v>
      </c>
      <c r="G386" t="str">
        <f>"00113641"</f>
        <v>00113641</v>
      </c>
      <c r="H386">
        <v>968</v>
      </c>
      <c r="I386">
        <v>0</v>
      </c>
      <c r="J386">
        <v>30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72</v>
      </c>
      <c r="S386">
        <v>504</v>
      </c>
      <c r="T386">
        <v>0</v>
      </c>
      <c r="V386">
        <v>2</v>
      </c>
      <c r="W386">
        <v>1502</v>
      </c>
    </row>
    <row r="387" spans="1:23" x14ac:dyDescent="0.25">
      <c r="H387">
        <v>400</v>
      </c>
    </row>
    <row r="388" spans="1:23" x14ac:dyDescent="0.25">
      <c r="A388">
        <v>191</v>
      </c>
      <c r="B388">
        <v>756</v>
      </c>
      <c r="C388" t="s">
        <v>657</v>
      </c>
      <c r="D388" t="s">
        <v>658</v>
      </c>
      <c r="E388" t="s">
        <v>27</v>
      </c>
      <c r="F388" t="s">
        <v>659</v>
      </c>
      <c r="G388" t="str">
        <f>"00216686"</f>
        <v>00216686</v>
      </c>
      <c r="H388">
        <v>792</v>
      </c>
      <c r="I388">
        <v>0</v>
      </c>
      <c r="J388">
        <v>70</v>
      </c>
      <c r="K388">
        <v>0</v>
      </c>
      <c r="L388">
        <v>50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84</v>
      </c>
      <c r="S388">
        <v>588</v>
      </c>
      <c r="T388">
        <v>0</v>
      </c>
      <c r="V388">
        <v>0</v>
      </c>
      <c r="W388">
        <v>1500</v>
      </c>
    </row>
    <row r="389" spans="1:23" x14ac:dyDescent="0.25">
      <c r="H389">
        <v>400</v>
      </c>
    </row>
    <row r="390" spans="1:23" x14ac:dyDescent="0.25">
      <c r="A390">
        <v>192</v>
      </c>
      <c r="B390">
        <v>1282</v>
      </c>
      <c r="C390" t="s">
        <v>660</v>
      </c>
      <c r="D390" t="s">
        <v>180</v>
      </c>
      <c r="E390" t="s">
        <v>71</v>
      </c>
      <c r="F390" t="s">
        <v>661</v>
      </c>
      <c r="G390" t="str">
        <f>"00149497"</f>
        <v>00149497</v>
      </c>
      <c r="H390" t="s">
        <v>218</v>
      </c>
      <c r="I390">
        <v>0</v>
      </c>
      <c r="J390">
        <v>70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84</v>
      </c>
      <c r="S390">
        <v>588</v>
      </c>
      <c r="T390">
        <v>0</v>
      </c>
      <c r="V390">
        <v>0</v>
      </c>
      <c r="W390" t="s">
        <v>662</v>
      </c>
    </row>
    <row r="391" spans="1:23" x14ac:dyDescent="0.25">
      <c r="H391">
        <v>400</v>
      </c>
    </row>
    <row r="392" spans="1:23" x14ac:dyDescent="0.25">
      <c r="A392">
        <v>193</v>
      </c>
      <c r="B392">
        <v>1909</v>
      </c>
      <c r="C392" t="s">
        <v>439</v>
      </c>
      <c r="D392" t="s">
        <v>663</v>
      </c>
      <c r="E392" t="s">
        <v>441</v>
      </c>
      <c r="F392">
        <v>83070</v>
      </c>
      <c r="G392" t="str">
        <f>"201412005171"</f>
        <v>201412005171</v>
      </c>
      <c r="H392" t="s">
        <v>218</v>
      </c>
      <c r="I392">
        <v>0</v>
      </c>
      <c r="J392">
        <v>70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84</v>
      </c>
      <c r="S392">
        <v>588</v>
      </c>
      <c r="T392">
        <v>0</v>
      </c>
      <c r="V392">
        <v>1</v>
      </c>
      <c r="W392" t="s">
        <v>662</v>
      </c>
    </row>
    <row r="393" spans="1:23" x14ac:dyDescent="0.25">
      <c r="H393">
        <v>400</v>
      </c>
    </row>
    <row r="394" spans="1:23" x14ac:dyDescent="0.25">
      <c r="A394">
        <v>194</v>
      </c>
      <c r="B394">
        <v>732</v>
      </c>
      <c r="C394" t="s">
        <v>664</v>
      </c>
      <c r="D394" t="s">
        <v>78</v>
      </c>
      <c r="E394" t="s">
        <v>49</v>
      </c>
      <c r="F394" t="s">
        <v>665</v>
      </c>
      <c r="G394" t="str">
        <f>"201406010243"</f>
        <v>201406010243</v>
      </c>
      <c r="H394" t="s">
        <v>666</v>
      </c>
      <c r="I394">
        <v>0</v>
      </c>
      <c r="J394">
        <v>30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62</v>
      </c>
      <c r="S394">
        <v>434</v>
      </c>
      <c r="T394">
        <v>0</v>
      </c>
      <c r="V394">
        <v>0</v>
      </c>
      <c r="W394" t="s">
        <v>667</v>
      </c>
    </row>
    <row r="395" spans="1:23" x14ac:dyDescent="0.25">
      <c r="H395">
        <v>400</v>
      </c>
    </row>
    <row r="396" spans="1:23" x14ac:dyDescent="0.25">
      <c r="A396">
        <v>195</v>
      </c>
      <c r="B396">
        <v>1261</v>
      </c>
      <c r="C396" t="s">
        <v>668</v>
      </c>
      <c r="D396" t="s">
        <v>669</v>
      </c>
      <c r="E396" t="s">
        <v>49</v>
      </c>
      <c r="F396" t="s">
        <v>670</v>
      </c>
      <c r="G396" t="str">
        <f>"00201931"</f>
        <v>00201931</v>
      </c>
      <c r="H396" t="s">
        <v>120</v>
      </c>
      <c r="I396">
        <v>0</v>
      </c>
      <c r="J396">
        <v>70</v>
      </c>
      <c r="K396">
        <v>50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51</v>
      </c>
      <c r="S396">
        <v>357</v>
      </c>
      <c r="T396">
        <v>0</v>
      </c>
      <c r="V396">
        <v>0</v>
      </c>
      <c r="W396" t="s">
        <v>671</v>
      </c>
    </row>
    <row r="397" spans="1:23" x14ac:dyDescent="0.25">
      <c r="H397">
        <v>400</v>
      </c>
    </row>
    <row r="398" spans="1:23" x14ac:dyDescent="0.25">
      <c r="A398">
        <v>196</v>
      </c>
      <c r="B398">
        <v>647</v>
      </c>
      <c r="C398" t="s">
        <v>672</v>
      </c>
      <c r="D398" t="s">
        <v>180</v>
      </c>
      <c r="E398" t="s">
        <v>15</v>
      </c>
      <c r="F398" t="s">
        <v>673</v>
      </c>
      <c r="G398" t="str">
        <f>"201410008057"</f>
        <v>201410008057</v>
      </c>
      <c r="H398">
        <v>979</v>
      </c>
      <c r="I398">
        <v>0</v>
      </c>
      <c r="J398">
        <v>50</v>
      </c>
      <c r="K398">
        <v>30</v>
      </c>
      <c r="L398">
        <v>50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55</v>
      </c>
      <c r="S398">
        <v>385</v>
      </c>
      <c r="T398">
        <v>0</v>
      </c>
      <c r="V398">
        <v>0</v>
      </c>
      <c r="W398">
        <v>1494</v>
      </c>
    </row>
    <row r="399" spans="1:23" x14ac:dyDescent="0.25">
      <c r="H399">
        <v>400</v>
      </c>
    </row>
    <row r="400" spans="1:23" x14ac:dyDescent="0.25">
      <c r="A400">
        <v>197</v>
      </c>
      <c r="B400">
        <v>444</v>
      </c>
      <c r="C400" t="s">
        <v>674</v>
      </c>
      <c r="D400" t="s">
        <v>298</v>
      </c>
      <c r="E400" t="s">
        <v>39</v>
      </c>
      <c r="F400" t="s">
        <v>675</v>
      </c>
      <c r="G400" t="str">
        <f>"00091393"</f>
        <v>00091393</v>
      </c>
      <c r="H400" t="s">
        <v>249</v>
      </c>
      <c r="I400">
        <v>0</v>
      </c>
      <c r="J400">
        <v>30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73</v>
      </c>
      <c r="S400">
        <v>511</v>
      </c>
      <c r="T400">
        <v>0</v>
      </c>
      <c r="V400">
        <v>0</v>
      </c>
      <c r="W400" t="s">
        <v>676</v>
      </c>
    </row>
    <row r="401" spans="1:23" x14ac:dyDescent="0.25">
      <c r="H401">
        <v>400</v>
      </c>
    </row>
    <row r="402" spans="1:23" x14ac:dyDescent="0.25">
      <c r="A402">
        <v>198</v>
      </c>
      <c r="B402">
        <v>386</v>
      </c>
      <c r="C402" t="s">
        <v>677</v>
      </c>
      <c r="D402" t="s">
        <v>678</v>
      </c>
      <c r="E402" t="s">
        <v>272</v>
      </c>
      <c r="F402" t="s">
        <v>679</v>
      </c>
      <c r="G402" t="str">
        <f>"00134534"</f>
        <v>00134534</v>
      </c>
      <c r="H402" t="s">
        <v>472</v>
      </c>
      <c r="I402">
        <v>0</v>
      </c>
      <c r="J402">
        <v>30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84</v>
      </c>
      <c r="S402">
        <v>588</v>
      </c>
      <c r="T402">
        <v>0</v>
      </c>
      <c r="V402">
        <v>0</v>
      </c>
      <c r="W402" t="s">
        <v>676</v>
      </c>
    </row>
    <row r="403" spans="1:23" x14ac:dyDescent="0.25">
      <c r="H403">
        <v>400</v>
      </c>
    </row>
    <row r="404" spans="1:23" x14ac:dyDescent="0.25">
      <c r="A404">
        <v>199</v>
      </c>
      <c r="B404">
        <v>1455</v>
      </c>
      <c r="C404" t="s">
        <v>680</v>
      </c>
      <c r="D404" t="s">
        <v>26</v>
      </c>
      <c r="E404" t="s">
        <v>269</v>
      </c>
      <c r="F404" t="s">
        <v>681</v>
      </c>
      <c r="G404" t="str">
        <f>"00214304"</f>
        <v>00214304</v>
      </c>
      <c r="H404">
        <v>693</v>
      </c>
      <c r="I404">
        <v>150</v>
      </c>
      <c r="J404">
        <v>30</v>
      </c>
      <c r="K404">
        <v>0</v>
      </c>
      <c r="L404">
        <v>0</v>
      </c>
      <c r="M404">
        <v>30</v>
      </c>
      <c r="N404">
        <v>0</v>
      </c>
      <c r="O404">
        <v>0</v>
      </c>
      <c r="P404">
        <v>0</v>
      </c>
      <c r="Q404">
        <v>0</v>
      </c>
      <c r="R404">
        <v>84</v>
      </c>
      <c r="S404">
        <v>588</v>
      </c>
      <c r="T404">
        <v>0</v>
      </c>
      <c r="V404">
        <v>0</v>
      </c>
      <c r="W404">
        <v>1491</v>
      </c>
    </row>
    <row r="405" spans="1:23" x14ac:dyDescent="0.25">
      <c r="H405">
        <v>400</v>
      </c>
    </row>
    <row r="406" spans="1:23" x14ac:dyDescent="0.25">
      <c r="A406">
        <v>200</v>
      </c>
      <c r="B406">
        <v>262</v>
      </c>
      <c r="C406" t="s">
        <v>682</v>
      </c>
      <c r="D406" t="s">
        <v>683</v>
      </c>
      <c r="E406" t="s">
        <v>27</v>
      </c>
      <c r="F406" t="s">
        <v>684</v>
      </c>
      <c r="G406" t="str">
        <f>"201406010898"</f>
        <v>201406010898</v>
      </c>
      <c r="H406" t="s">
        <v>603</v>
      </c>
      <c r="I406">
        <v>0</v>
      </c>
      <c r="J406">
        <v>50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84</v>
      </c>
      <c r="S406">
        <v>588</v>
      </c>
      <c r="T406">
        <v>0</v>
      </c>
      <c r="V406">
        <v>1</v>
      </c>
      <c r="W406" t="s">
        <v>685</v>
      </c>
    </row>
    <row r="407" spans="1:23" x14ac:dyDescent="0.25">
      <c r="H407">
        <v>400</v>
      </c>
    </row>
    <row r="408" spans="1:23" x14ac:dyDescent="0.25">
      <c r="A408">
        <v>201</v>
      </c>
      <c r="B408">
        <v>491</v>
      </c>
      <c r="C408" t="s">
        <v>686</v>
      </c>
      <c r="D408" t="s">
        <v>404</v>
      </c>
      <c r="E408" t="s">
        <v>687</v>
      </c>
      <c r="F408" t="s">
        <v>688</v>
      </c>
      <c r="G408" t="str">
        <f>"00217587"</f>
        <v>00217587</v>
      </c>
      <c r="H408">
        <v>990</v>
      </c>
      <c r="I408">
        <v>150</v>
      </c>
      <c r="J408">
        <v>70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40</v>
      </c>
      <c r="S408">
        <v>280</v>
      </c>
      <c r="T408">
        <v>0</v>
      </c>
      <c r="V408">
        <v>0</v>
      </c>
      <c r="W408">
        <v>1490</v>
      </c>
    </row>
    <row r="409" spans="1:23" x14ac:dyDescent="0.25">
      <c r="H409">
        <v>400</v>
      </c>
    </row>
    <row r="410" spans="1:23" x14ac:dyDescent="0.25">
      <c r="A410">
        <v>202</v>
      </c>
      <c r="B410">
        <v>624</v>
      </c>
      <c r="C410" t="s">
        <v>689</v>
      </c>
      <c r="D410" t="s">
        <v>498</v>
      </c>
      <c r="E410" t="s">
        <v>408</v>
      </c>
      <c r="F410" t="s">
        <v>690</v>
      </c>
      <c r="G410" t="str">
        <f>"201409002212"</f>
        <v>201409002212</v>
      </c>
      <c r="H410" t="s">
        <v>235</v>
      </c>
      <c r="I410">
        <v>150</v>
      </c>
      <c r="J410">
        <v>70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39</v>
      </c>
      <c r="S410">
        <v>273</v>
      </c>
      <c r="T410">
        <v>0</v>
      </c>
      <c r="V410">
        <v>0</v>
      </c>
      <c r="W410" t="s">
        <v>691</v>
      </c>
    </row>
    <row r="411" spans="1:23" x14ac:dyDescent="0.25">
      <c r="H411">
        <v>400</v>
      </c>
    </row>
    <row r="412" spans="1:23" x14ac:dyDescent="0.25">
      <c r="A412">
        <v>203</v>
      </c>
      <c r="B412">
        <v>724</v>
      </c>
      <c r="C412" t="s">
        <v>692</v>
      </c>
      <c r="D412" t="s">
        <v>39</v>
      </c>
      <c r="E412" t="s">
        <v>71</v>
      </c>
      <c r="F412" t="s">
        <v>693</v>
      </c>
      <c r="G412" t="str">
        <f>"00157372"</f>
        <v>00157372</v>
      </c>
      <c r="H412" t="s">
        <v>694</v>
      </c>
      <c r="I412">
        <v>0</v>
      </c>
      <c r="J412">
        <v>70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84</v>
      </c>
      <c r="S412">
        <v>588</v>
      </c>
      <c r="T412">
        <v>0</v>
      </c>
      <c r="V412">
        <v>1</v>
      </c>
      <c r="W412" t="s">
        <v>691</v>
      </c>
    </row>
    <row r="413" spans="1:23" x14ac:dyDescent="0.25">
      <c r="H413">
        <v>400</v>
      </c>
    </row>
    <row r="414" spans="1:23" x14ac:dyDescent="0.25">
      <c r="A414">
        <v>204</v>
      </c>
      <c r="B414">
        <v>957</v>
      </c>
      <c r="C414" t="s">
        <v>695</v>
      </c>
      <c r="D414" t="s">
        <v>157</v>
      </c>
      <c r="E414" t="s">
        <v>27</v>
      </c>
      <c r="F414" t="s">
        <v>696</v>
      </c>
      <c r="G414" t="str">
        <f>"00217854"</f>
        <v>00217854</v>
      </c>
      <c r="H414" t="s">
        <v>697</v>
      </c>
      <c r="I414">
        <v>0</v>
      </c>
      <c r="J414">
        <v>30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84</v>
      </c>
      <c r="S414">
        <v>588</v>
      </c>
      <c r="T414">
        <v>0</v>
      </c>
      <c r="V414">
        <v>0</v>
      </c>
      <c r="W414" t="s">
        <v>698</v>
      </c>
    </row>
    <row r="415" spans="1:23" x14ac:dyDescent="0.25">
      <c r="H415">
        <v>400</v>
      </c>
    </row>
    <row r="416" spans="1:23" x14ac:dyDescent="0.25">
      <c r="A416">
        <v>205</v>
      </c>
      <c r="B416">
        <v>832</v>
      </c>
      <c r="C416" t="s">
        <v>699</v>
      </c>
      <c r="D416" t="s">
        <v>241</v>
      </c>
      <c r="E416" t="s">
        <v>49</v>
      </c>
      <c r="F416" t="s">
        <v>700</v>
      </c>
      <c r="G416" t="str">
        <f>"00216260"</f>
        <v>00216260</v>
      </c>
      <c r="H416">
        <v>869</v>
      </c>
      <c r="I416">
        <v>0</v>
      </c>
      <c r="J416">
        <v>30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84</v>
      </c>
      <c r="S416">
        <v>588</v>
      </c>
      <c r="T416">
        <v>0</v>
      </c>
      <c r="V416">
        <v>0</v>
      </c>
      <c r="W416">
        <v>1487</v>
      </c>
    </row>
    <row r="417" spans="1:23" x14ac:dyDescent="0.25">
      <c r="H417">
        <v>400</v>
      </c>
    </row>
    <row r="418" spans="1:23" x14ac:dyDescent="0.25">
      <c r="A418">
        <v>206</v>
      </c>
      <c r="B418">
        <v>584</v>
      </c>
      <c r="C418" t="s">
        <v>701</v>
      </c>
      <c r="D418" t="s">
        <v>702</v>
      </c>
      <c r="E418" t="s">
        <v>49</v>
      </c>
      <c r="F418" t="s">
        <v>703</v>
      </c>
      <c r="G418" t="str">
        <f>"201412002481"</f>
        <v>201412002481</v>
      </c>
      <c r="H418">
        <v>1034</v>
      </c>
      <c r="I418">
        <v>0</v>
      </c>
      <c r="J418">
        <v>50</v>
      </c>
      <c r="K418">
        <v>70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47</v>
      </c>
      <c r="S418">
        <v>329</v>
      </c>
      <c r="T418">
        <v>0</v>
      </c>
      <c r="V418">
        <v>0</v>
      </c>
      <c r="W418">
        <v>1483</v>
      </c>
    </row>
    <row r="419" spans="1:23" x14ac:dyDescent="0.25">
      <c r="H419">
        <v>400</v>
      </c>
    </row>
    <row r="420" spans="1:23" x14ac:dyDescent="0.25">
      <c r="A420">
        <v>207</v>
      </c>
      <c r="B420">
        <v>133</v>
      </c>
      <c r="C420" t="s">
        <v>704</v>
      </c>
      <c r="D420" t="s">
        <v>200</v>
      </c>
      <c r="E420" t="s">
        <v>705</v>
      </c>
      <c r="F420" t="s">
        <v>706</v>
      </c>
      <c r="G420" t="str">
        <f>"201406010247"</f>
        <v>201406010247</v>
      </c>
      <c r="H420" t="s">
        <v>437</v>
      </c>
      <c r="I420">
        <v>0</v>
      </c>
      <c r="J420">
        <v>50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78</v>
      </c>
      <c r="S420">
        <v>546</v>
      </c>
      <c r="T420">
        <v>0</v>
      </c>
      <c r="V420">
        <v>0</v>
      </c>
      <c r="W420" t="s">
        <v>707</v>
      </c>
    </row>
    <row r="421" spans="1:23" x14ac:dyDescent="0.25">
      <c r="H421">
        <v>400</v>
      </c>
    </row>
    <row r="422" spans="1:23" x14ac:dyDescent="0.25">
      <c r="A422">
        <v>208</v>
      </c>
      <c r="B422">
        <v>714</v>
      </c>
      <c r="C422" t="s">
        <v>708</v>
      </c>
      <c r="D422" t="s">
        <v>192</v>
      </c>
      <c r="E422" t="s">
        <v>71</v>
      </c>
      <c r="F422" t="s">
        <v>709</v>
      </c>
      <c r="G422" t="str">
        <f>"00109716"</f>
        <v>00109716</v>
      </c>
      <c r="H422" t="s">
        <v>710</v>
      </c>
      <c r="I422">
        <v>0</v>
      </c>
      <c r="J422">
        <v>30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84</v>
      </c>
      <c r="S422">
        <v>588</v>
      </c>
      <c r="T422">
        <v>0</v>
      </c>
      <c r="V422">
        <v>0</v>
      </c>
      <c r="W422" t="s">
        <v>707</v>
      </c>
    </row>
    <row r="423" spans="1:23" x14ac:dyDescent="0.25">
      <c r="H423">
        <v>400</v>
      </c>
    </row>
    <row r="424" spans="1:23" x14ac:dyDescent="0.25">
      <c r="A424">
        <v>209</v>
      </c>
      <c r="B424">
        <v>514</v>
      </c>
      <c r="C424" t="s">
        <v>711</v>
      </c>
      <c r="D424" t="s">
        <v>401</v>
      </c>
      <c r="E424" t="s">
        <v>21</v>
      </c>
      <c r="F424" t="s">
        <v>712</v>
      </c>
      <c r="G424" t="str">
        <f>"200911000252"</f>
        <v>200911000252</v>
      </c>
      <c r="H424">
        <v>946</v>
      </c>
      <c r="I424">
        <v>0</v>
      </c>
      <c r="J424">
        <v>30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72</v>
      </c>
      <c r="S424">
        <v>504</v>
      </c>
      <c r="T424">
        <v>0</v>
      </c>
      <c r="V424">
        <v>0</v>
      </c>
      <c r="W424">
        <v>1480</v>
      </c>
    </row>
    <row r="425" spans="1:23" x14ac:dyDescent="0.25">
      <c r="H425">
        <v>400</v>
      </c>
    </row>
    <row r="426" spans="1:23" x14ac:dyDescent="0.25">
      <c r="A426">
        <v>210</v>
      </c>
      <c r="B426">
        <v>1204</v>
      </c>
      <c r="C426" t="s">
        <v>713</v>
      </c>
      <c r="D426" t="s">
        <v>714</v>
      </c>
      <c r="E426" t="s">
        <v>158</v>
      </c>
      <c r="F426" t="s">
        <v>715</v>
      </c>
      <c r="G426" t="str">
        <f>"00119211"</f>
        <v>00119211</v>
      </c>
      <c r="H426" t="s">
        <v>410</v>
      </c>
      <c r="I426">
        <v>150</v>
      </c>
      <c r="J426">
        <v>70</v>
      </c>
      <c r="K426">
        <v>30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35</v>
      </c>
      <c r="S426">
        <v>245</v>
      </c>
      <c r="T426">
        <v>0</v>
      </c>
      <c r="V426">
        <v>0</v>
      </c>
      <c r="W426" t="s">
        <v>716</v>
      </c>
    </row>
    <row r="427" spans="1:23" x14ac:dyDescent="0.25">
      <c r="H427">
        <v>400</v>
      </c>
    </row>
    <row r="428" spans="1:23" x14ac:dyDescent="0.25">
      <c r="A428">
        <v>211</v>
      </c>
      <c r="B428">
        <v>697</v>
      </c>
      <c r="C428" t="s">
        <v>717</v>
      </c>
      <c r="D428" t="s">
        <v>413</v>
      </c>
      <c r="E428" t="s">
        <v>15</v>
      </c>
      <c r="F428" t="s">
        <v>718</v>
      </c>
      <c r="G428" t="str">
        <f>"201511025207"</f>
        <v>201511025207</v>
      </c>
      <c r="H428" t="s">
        <v>307</v>
      </c>
      <c r="I428">
        <v>0</v>
      </c>
      <c r="J428">
        <v>70</v>
      </c>
      <c r="K428">
        <v>0</v>
      </c>
      <c r="L428">
        <v>30</v>
      </c>
      <c r="M428">
        <v>70</v>
      </c>
      <c r="N428">
        <v>0</v>
      </c>
      <c r="O428">
        <v>0</v>
      </c>
      <c r="P428">
        <v>0</v>
      </c>
      <c r="Q428">
        <v>0</v>
      </c>
      <c r="R428">
        <v>70</v>
      </c>
      <c r="S428">
        <v>490</v>
      </c>
      <c r="T428">
        <v>0</v>
      </c>
      <c r="V428">
        <v>0</v>
      </c>
      <c r="W428" t="s">
        <v>716</v>
      </c>
    </row>
    <row r="429" spans="1:23" x14ac:dyDescent="0.25">
      <c r="H429">
        <v>400</v>
      </c>
    </row>
    <row r="430" spans="1:23" x14ac:dyDescent="0.25">
      <c r="A430">
        <v>212</v>
      </c>
      <c r="B430">
        <v>895</v>
      </c>
      <c r="C430" t="s">
        <v>719</v>
      </c>
      <c r="D430" t="s">
        <v>288</v>
      </c>
      <c r="E430" t="s">
        <v>720</v>
      </c>
      <c r="F430" t="s">
        <v>721</v>
      </c>
      <c r="G430" t="str">
        <f>"00144742"</f>
        <v>00144742</v>
      </c>
      <c r="H430">
        <v>880</v>
      </c>
      <c r="I430">
        <v>150</v>
      </c>
      <c r="J430">
        <v>50</v>
      </c>
      <c r="K430">
        <v>0</v>
      </c>
      <c r="L430">
        <v>0</v>
      </c>
      <c r="M430">
        <v>0</v>
      </c>
      <c r="N430">
        <v>0</v>
      </c>
      <c r="O430">
        <v>70</v>
      </c>
      <c r="P430">
        <v>0</v>
      </c>
      <c r="Q430">
        <v>0</v>
      </c>
      <c r="R430">
        <v>47</v>
      </c>
      <c r="S430">
        <v>329</v>
      </c>
      <c r="T430">
        <v>0</v>
      </c>
      <c r="V430">
        <v>0</v>
      </c>
      <c r="W430">
        <v>1479</v>
      </c>
    </row>
    <row r="431" spans="1:23" x14ac:dyDescent="0.25">
      <c r="H431" t="s">
        <v>76</v>
      </c>
    </row>
    <row r="432" spans="1:23" x14ac:dyDescent="0.25">
      <c r="A432">
        <v>213</v>
      </c>
      <c r="B432">
        <v>1440</v>
      </c>
      <c r="C432" t="s">
        <v>722</v>
      </c>
      <c r="D432" t="s">
        <v>209</v>
      </c>
      <c r="E432" t="s">
        <v>59</v>
      </c>
      <c r="F432" t="s">
        <v>723</v>
      </c>
      <c r="G432" t="str">
        <f>"201406001058"</f>
        <v>201406001058</v>
      </c>
      <c r="H432" t="s">
        <v>68</v>
      </c>
      <c r="I432">
        <v>0</v>
      </c>
      <c r="J432">
        <v>30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60</v>
      </c>
      <c r="S432">
        <v>420</v>
      </c>
      <c r="T432">
        <v>0</v>
      </c>
      <c r="V432">
        <v>0</v>
      </c>
      <c r="W432" t="s">
        <v>724</v>
      </c>
    </row>
    <row r="433" spans="1:23" x14ac:dyDescent="0.25">
      <c r="H433">
        <v>400</v>
      </c>
    </row>
    <row r="434" spans="1:23" x14ac:dyDescent="0.25">
      <c r="A434">
        <v>214</v>
      </c>
      <c r="B434">
        <v>586</v>
      </c>
      <c r="C434" t="s">
        <v>725</v>
      </c>
      <c r="D434" t="s">
        <v>97</v>
      </c>
      <c r="E434" t="s">
        <v>408</v>
      </c>
      <c r="F434" t="s">
        <v>726</v>
      </c>
      <c r="G434" t="str">
        <f>"00214245"</f>
        <v>00214245</v>
      </c>
      <c r="H434" t="s">
        <v>694</v>
      </c>
      <c r="I434">
        <v>0</v>
      </c>
      <c r="J434">
        <v>30</v>
      </c>
      <c r="K434">
        <v>30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84</v>
      </c>
      <c r="S434">
        <v>588</v>
      </c>
      <c r="T434">
        <v>0</v>
      </c>
      <c r="V434">
        <v>0</v>
      </c>
      <c r="W434" t="s">
        <v>724</v>
      </c>
    </row>
    <row r="435" spans="1:23" x14ac:dyDescent="0.25">
      <c r="H435">
        <v>400</v>
      </c>
    </row>
    <row r="436" spans="1:23" x14ac:dyDescent="0.25">
      <c r="A436">
        <v>215</v>
      </c>
      <c r="B436">
        <v>148</v>
      </c>
      <c r="C436" t="s">
        <v>727</v>
      </c>
      <c r="D436" t="s">
        <v>71</v>
      </c>
      <c r="E436" t="s">
        <v>27</v>
      </c>
      <c r="F436" t="s">
        <v>728</v>
      </c>
      <c r="G436" t="str">
        <f>"00111849"</f>
        <v>00111849</v>
      </c>
      <c r="H436" t="s">
        <v>285</v>
      </c>
      <c r="I436">
        <v>0</v>
      </c>
      <c r="J436">
        <v>30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74</v>
      </c>
      <c r="S436">
        <v>518</v>
      </c>
      <c r="T436">
        <v>0</v>
      </c>
      <c r="V436">
        <v>0</v>
      </c>
      <c r="W436" t="s">
        <v>729</v>
      </c>
    </row>
    <row r="437" spans="1:23" x14ac:dyDescent="0.25">
      <c r="H437">
        <v>400</v>
      </c>
    </row>
    <row r="438" spans="1:23" x14ac:dyDescent="0.25">
      <c r="A438">
        <v>216</v>
      </c>
      <c r="B438">
        <v>1565</v>
      </c>
      <c r="C438" t="s">
        <v>730</v>
      </c>
      <c r="D438" t="s">
        <v>408</v>
      </c>
      <c r="E438" t="s">
        <v>27</v>
      </c>
      <c r="F438" t="s">
        <v>731</v>
      </c>
      <c r="G438" t="str">
        <f>"201304003391"</f>
        <v>201304003391</v>
      </c>
      <c r="H438" t="s">
        <v>285</v>
      </c>
      <c r="I438">
        <v>0</v>
      </c>
      <c r="J438">
        <v>30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74</v>
      </c>
      <c r="S438">
        <v>518</v>
      </c>
      <c r="T438">
        <v>0</v>
      </c>
      <c r="V438">
        <v>0</v>
      </c>
      <c r="W438" t="s">
        <v>729</v>
      </c>
    </row>
    <row r="439" spans="1:23" x14ac:dyDescent="0.25">
      <c r="H439" t="s">
        <v>76</v>
      </c>
    </row>
    <row r="440" spans="1:23" x14ac:dyDescent="0.25">
      <c r="A440">
        <v>217</v>
      </c>
      <c r="B440">
        <v>210</v>
      </c>
      <c r="C440" t="s">
        <v>732</v>
      </c>
      <c r="D440" t="s">
        <v>620</v>
      </c>
      <c r="E440" t="s">
        <v>15</v>
      </c>
      <c r="F440" t="s">
        <v>733</v>
      </c>
      <c r="G440" t="str">
        <f>"201606000132"</f>
        <v>201606000132</v>
      </c>
      <c r="H440">
        <v>660</v>
      </c>
      <c r="I440">
        <v>150</v>
      </c>
      <c r="J440">
        <v>70</v>
      </c>
      <c r="K440">
        <v>50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78</v>
      </c>
      <c r="S440">
        <v>546</v>
      </c>
      <c r="T440">
        <v>0</v>
      </c>
      <c r="V440">
        <v>0</v>
      </c>
      <c r="W440">
        <v>1476</v>
      </c>
    </row>
    <row r="441" spans="1:23" x14ac:dyDescent="0.25">
      <c r="H441">
        <v>400</v>
      </c>
    </row>
    <row r="442" spans="1:23" x14ac:dyDescent="0.25">
      <c r="A442">
        <v>218</v>
      </c>
      <c r="B442">
        <v>418</v>
      </c>
      <c r="C442" t="s">
        <v>734</v>
      </c>
      <c r="D442" t="s">
        <v>97</v>
      </c>
      <c r="E442" t="s">
        <v>15</v>
      </c>
      <c r="F442" t="s">
        <v>735</v>
      </c>
      <c r="G442" t="str">
        <f>"00214467"</f>
        <v>00214467</v>
      </c>
      <c r="H442" t="s">
        <v>666</v>
      </c>
      <c r="I442">
        <v>0</v>
      </c>
      <c r="J442">
        <v>30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59</v>
      </c>
      <c r="S442">
        <v>413</v>
      </c>
      <c r="T442">
        <v>0</v>
      </c>
      <c r="V442">
        <v>0</v>
      </c>
      <c r="W442" t="s">
        <v>736</v>
      </c>
    </row>
    <row r="443" spans="1:23" x14ac:dyDescent="0.25">
      <c r="H443">
        <v>400</v>
      </c>
    </row>
    <row r="444" spans="1:23" x14ac:dyDescent="0.25">
      <c r="A444">
        <v>219</v>
      </c>
      <c r="B444">
        <v>830</v>
      </c>
      <c r="C444" t="s">
        <v>737</v>
      </c>
      <c r="D444" t="s">
        <v>738</v>
      </c>
      <c r="E444" t="s">
        <v>71</v>
      </c>
      <c r="F444" t="s">
        <v>739</v>
      </c>
      <c r="G444" t="str">
        <f>"201402002180"</f>
        <v>201402002180</v>
      </c>
      <c r="H444">
        <v>814</v>
      </c>
      <c r="I444">
        <v>0</v>
      </c>
      <c r="J444">
        <v>70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84</v>
      </c>
      <c r="S444">
        <v>588</v>
      </c>
      <c r="T444">
        <v>0</v>
      </c>
      <c r="V444">
        <v>0</v>
      </c>
      <c r="W444">
        <v>1472</v>
      </c>
    </row>
    <row r="445" spans="1:23" x14ac:dyDescent="0.25">
      <c r="H445">
        <v>400</v>
      </c>
    </row>
    <row r="446" spans="1:23" x14ac:dyDescent="0.25">
      <c r="A446">
        <v>220</v>
      </c>
      <c r="B446">
        <v>763</v>
      </c>
      <c r="C446" t="s">
        <v>740</v>
      </c>
      <c r="D446" t="s">
        <v>741</v>
      </c>
      <c r="E446" t="s">
        <v>132</v>
      </c>
      <c r="F446" t="s">
        <v>742</v>
      </c>
      <c r="G446" t="str">
        <f>"201304005105"</f>
        <v>201304005105</v>
      </c>
      <c r="H446">
        <v>935</v>
      </c>
      <c r="I446">
        <v>150</v>
      </c>
      <c r="J446">
        <v>70</v>
      </c>
      <c r="K446">
        <v>0</v>
      </c>
      <c r="L446">
        <v>50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38</v>
      </c>
      <c r="S446">
        <v>266</v>
      </c>
      <c r="T446">
        <v>0</v>
      </c>
      <c r="V446">
        <v>0</v>
      </c>
      <c r="W446">
        <v>1471</v>
      </c>
    </row>
    <row r="447" spans="1:23" x14ac:dyDescent="0.25">
      <c r="H447">
        <v>400</v>
      </c>
    </row>
    <row r="448" spans="1:23" x14ac:dyDescent="0.25">
      <c r="A448">
        <v>221</v>
      </c>
      <c r="B448">
        <v>1657</v>
      </c>
      <c r="C448" t="s">
        <v>743</v>
      </c>
      <c r="D448" t="s">
        <v>744</v>
      </c>
      <c r="E448" t="s">
        <v>209</v>
      </c>
      <c r="F448" t="s">
        <v>745</v>
      </c>
      <c r="G448" t="str">
        <f>"00212326"</f>
        <v>00212326</v>
      </c>
      <c r="H448" t="s">
        <v>603</v>
      </c>
      <c r="I448">
        <v>0</v>
      </c>
      <c r="J448">
        <v>30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84</v>
      </c>
      <c r="S448">
        <v>588</v>
      </c>
      <c r="T448">
        <v>0</v>
      </c>
      <c r="V448">
        <v>1</v>
      </c>
      <c r="W448" t="s">
        <v>746</v>
      </c>
    </row>
    <row r="449" spans="1:23" x14ac:dyDescent="0.25">
      <c r="H449">
        <v>400</v>
      </c>
    </row>
    <row r="450" spans="1:23" x14ac:dyDescent="0.25">
      <c r="A450">
        <v>222</v>
      </c>
      <c r="B450">
        <v>574</v>
      </c>
      <c r="C450" t="s">
        <v>747</v>
      </c>
      <c r="D450" t="s">
        <v>748</v>
      </c>
      <c r="E450" t="s">
        <v>238</v>
      </c>
      <c r="F450" t="s">
        <v>749</v>
      </c>
      <c r="G450" t="str">
        <f>"201412006180"</f>
        <v>201412006180</v>
      </c>
      <c r="H450" t="s">
        <v>194</v>
      </c>
      <c r="I450">
        <v>0</v>
      </c>
      <c r="J450">
        <v>70</v>
      </c>
      <c r="K450">
        <v>50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55</v>
      </c>
      <c r="S450">
        <v>385</v>
      </c>
      <c r="T450">
        <v>0</v>
      </c>
      <c r="V450">
        <v>2</v>
      </c>
      <c r="W450" t="s">
        <v>750</v>
      </c>
    </row>
    <row r="451" spans="1:23" x14ac:dyDescent="0.25">
      <c r="H451">
        <v>400</v>
      </c>
    </row>
    <row r="452" spans="1:23" x14ac:dyDescent="0.25">
      <c r="A452">
        <v>223</v>
      </c>
      <c r="B452">
        <v>1923</v>
      </c>
      <c r="C452" t="s">
        <v>751</v>
      </c>
      <c r="D452" t="s">
        <v>20</v>
      </c>
      <c r="E452" t="s">
        <v>50</v>
      </c>
      <c r="F452" t="s">
        <v>752</v>
      </c>
      <c r="G452" t="str">
        <f>"201406001778"</f>
        <v>201406001778</v>
      </c>
      <c r="H452" t="s">
        <v>753</v>
      </c>
      <c r="I452">
        <v>0</v>
      </c>
      <c r="J452">
        <v>50</v>
      </c>
      <c r="K452">
        <v>0</v>
      </c>
      <c r="L452">
        <v>30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56</v>
      </c>
      <c r="S452">
        <v>392</v>
      </c>
      <c r="T452">
        <v>0</v>
      </c>
      <c r="V452">
        <v>0</v>
      </c>
      <c r="W452" t="s">
        <v>754</v>
      </c>
    </row>
    <row r="453" spans="1:23" x14ac:dyDescent="0.25">
      <c r="H453">
        <v>400</v>
      </c>
    </row>
    <row r="454" spans="1:23" x14ac:dyDescent="0.25">
      <c r="A454">
        <v>224</v>
      </c>
      <c r="B454">
        <v>1720</v>
      </c>
      <c r="C454" t="s">
        <v>755</v>
      </c>
      <c r="D454" t="s">
        <v>756</v>
      </c>
      <c r="E454" t="s">
        <v>27</v>
      </c>
      <c r="F454" t="s">
        <v>757</v>
      </c>
      <c r="G454" t="str">
        <f>"201402008124"</f>
        <v>201402008124</v>
      </c>
      <c r="H454">
        <v>979</v>
      </c>
      <c r="I454">
        <v>150</v>
      </c>
      <c r="J454">
        <v>70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38</v>
      </c>
      <c r="S454">
        <v>266</v>
      </c>
      <c r="T454">
        <v>0</v>
      </c>
      <c r="V454">
        <v>0</v>
      </c>
      <c r="W454">
        <v>1465</v>
      </c>
    </row>
    <row r="455" spans="1:23" x14ac:dyDescent="0.25">
      <c r="H455">
        <v>400</v>
      </c>
    </row>
    <row r="456" spans="1:23" x14ac:dyDescent="0.25">
      <c r="A456">
        <v>225</v>
      </c>
      <c r="B456">
        <v>1404</v>
      </c>
      <c r="C456" t="s">
        <v>758</v>
      </c>
      <c r="D456" t="s">
        <v>298</v>
      </c>
      <c r="E456" t="s">
        <v>209</v>
      </c>
      <c r="F456" t="s">
        <v>759</v>
      </c>
      <c r="G456" t="str">
        <f>"201409000670"</f>
        <v>201409000670</v>
      </c>
      <c r="H456" t="s">
        <v>189</v>
      </c>
      <c r="I456">
        <v>150</v>
      </c>
      <c r="J456">
        <v>50</v>
      </c>
      <c r="K456">
        <v>70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19</v>
      </c>
      <c r="S456">
        <v>133</v>
      </c>
      <c r="T456">
        <v>0</v>
      </c>
      <c r="V456">
        <v>1</v>
      </c>
      <c r="W456" t="s">
        <v>760</v>
      </c>
    </row>
    <row r="457" spans="1:23" x14ac:dyDescent="0.25">
      <c r="H457">
        <v>400</v>
      </c>
    </row>
    <row r="458" spans="1:23" x14ac:dyDescent="0.25">
      <c r="A458">
        <v>226</v>
      </c>
      <c r="B458">
        <v>1576</v>
      </c>
      <c r="C458" t="s">
        <v>761</v>
      </c>
      <c r="D458" t="s">
        <v>20</v>
      </c>
      <c r="E458" t="s">
        <v>291</v>
      </c>
      <c r="F458" t="s">
        <v>762</v>
      </c>
      <c r="G458" t="str">
        <f>"00158343"</f>
        <v>00158343</v>
      </c>
      <c r="H458" t="s">
        <v>603</v>
      </c>
      <c r="I458">
        <v>0</v>
      </c>
      <c r="J458">
        <v>30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83</v>
      </c>
      <c r="S458">
        <v>581</v>
      </c>
      <c r="T458">
        <v>0</v>
      </c>
      <c r="V458">
        <v>0</v>
      </c>
      <c r="W458" t="s">
        <v>763</v>
      </c>
    </row>
    <row r="459" spans="1:23" x14ac:dyDescent="0.25">
      <c r="H459">
        <v>400</v>
      </c>
    </row>
    <row r="460" spans="1:23" x14ac:dyDescent="0.25">
      <c r="A460">
        <v>227</v>
      </c>
      <c r="B460">
        <v>828</v>
      </c>
      <c r="C460" t="s">
        <v>764</v>
      </c>
      <c r="D460" t="s">
        <v>180</v>
      </c>
      <c r="E460" t="s">
        <v>163</v>
      </c>
      <c r="F460" t="s">
        <v>765</v>
      </c>
      <c r="G460" t="str">
        <f>"00148229"</f>
        <v>00148229</v>
      </c>
      <c r="H460" t="s">
        <v>356</v>
      </c>
      <c r="I460">
        <v>150</v>
      </c>
      <c r="J460">
        <v>30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71</v>
      </c>
      <c r="S460">
        <v>497</v>
      </c>
      <c r="T460">
        <v>0</v>
      </c>
      <c r="V460">
        <v>0</v>
      </c>
      <c r="W460" t="s">
        <v>763</v>
      </c>
    </row>
    <row r="461" spans="1:23" x14ac:dyDescent="0.25">
      <c r="H461">
        <v>400</v>
      </c>
    </row>
    <row r="462" spans="1:23" x14ac:dyDescent="0.25">
      <c r="A462">
        <v>228</v>
      </c>
      <c r="B462">
        <v>1678</v>
      </c>
      <c r="C462" t="s">
        <v>766</v>
      </c>
      <c r="D462" t="s">
        <v>59</v>
      </c>
      <c r="E462" t="s">
        <v>263</v>
      </c>
      <c r="F462" t="s">
        <v>767</v>
      </c>
      <c r="G462" t="str">
        <f>"00213179"</f>
        <v>00213179</v>
      </c>
      <c r="H462">
        <v>825</v>
      </c>
      <c r="I462">
        <v>0</v>
      </c>
      <c r="J462">
        <v>50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84</v>
      </c>
      <c r="S462">
        <v>588</v>
      </c>
      <c r="T462">
        <v>0</v>
      </c>
      <c r="V462">
        <v>0</v>
      </c>
      <c r="W462">
        <v>1463</v>
      </c>
    </row>
    <row r="463" spans="1:23" x14ac:dyDescent="0.25">
      <c r="H463">
        <v>400</v>
      </c>
    </row>
    <row r="464" spans="1:23" x14ac:dyDescent="0.25">
      <c r="A464">
        <v>229</v>
      </c>
      <c r="B464">
        <v>1927</v>
      </c>
      <c r="C464" t="s">
        <v>768</v>
      </c>
      <c r="D464" t="s">
        <v>192</v>
      </c>
      <c r="E464" t="s">
        <v>14</v>
      </c>
      <c r="F464" t="s">
        <v>769</v>
      </c>
      <c r="G464" t="str">
        <f>"201511025097"</f>
        <v>201511025097</v>
      </c>
      <c r="H464">
        <v>825</v>
      </c>
      <c r="I464">
        <v>0</v>
      </c>
      <c r="J464">
        <v>70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81</v>
      </c>
      <c r="S464">
        <v>567</v>
      </c>
      <c r="T464">
        <v>0</v>
      </c>
      <c r="V464">
        <v>0</v>
      </c>
      <c r="W464">
        <v>1462</v>
      </c>
    </row>
    <row r="465" spans="1:23" x14ac:dyDescent="0.25">
      <c r="H465">
        <v>400</v>
      </c>
    </row>
    <row r="466" spans="1:23" x14ac:dyDescent="0.25">
      <c r="A466">
        <v>230</v>
      </c>
      <c r="B466">
        <v>134</v>
      </c>
      <c r="C466" t="s">
        <v>770</v>
      </c>
      <c r="D466" t="s">
        <v>756</v>
      </c>
      <c r="E466" t="s">
        <v>71</v>
      </c>
      <c r="F466" t="s">
        <v>771</v>
      </c>
      <c r="G466" t="str">
        <f>"201303000856"</f>
        <v>201303000856</v>
      </c>
      <c r="H466" t="s">
        <v>410</v>
      </c>
      <c r="I466">
        <v>0</v>
      </c>
      <c r="J466">
        <v>70</v>
      </c>
      <c r="K466">
        <v>0</v>
      </c>
      <c r="L466">
        <v>50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51</v>
      </c>
      <c r="S466">
        <v>357</v>
      </c>
      <c r="T466">
        <v>0</v>
      </c>
      <c r="V466">
        <v>0</v>
      </c>
      <c r="W466" t="s">
        <v>772</v>
      </c>
    </row>
    <row r="467" spans="1:23" x14ac:dyDescent="0.25">
      <c r="H467">
        <v>400</v>
      </c>
    </row>
    <row r="468" spans="1:23" x14ac:dyDescent="0.25">
      <c r="A468">
        <v>231</v>
      </c>
      <c r="B468">
        <v>83</v>
      </c>
      <c r="C468" t="s">
        <v>773</v>
      </c>
      <c r="D468" t="s">
        <v>401</v>
      </c>
      <c r="E468" t="s">
        <v>408</v>
      </c>
      <c r="F468" t="s">
        <v>774</v>
      </c>
      <c r="G468" t="str">
        <f>"200906000555"</f>
        <v>200906000555</v>
      </c>
      <c r="H468">
        <v>968</v>
      </c>
      <c r="I468">
        <v>0</v>
      </c>
      <c r="J468">
        <v>70</v>
      </c>
      <c r="K468">
        <v>50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53</v>
      </c>
      <c r="S468">
        <v>371</v>
      </c>
      <c r="T468">
        <v>0</v>
      </c>
      <c r="V468">
        <v>0</v>
      </c>
      <c r="W468">
        <v>1459</v>
      </c>
    </row>
    <row r="469" spans="1:23" x14ac:dyDescent="0.25">
      <c r="H469">
        <v>400</v>
      </c>
    </row>
    <row r="470" spans="1:23" x14ac:dyDescent="0.25">
      <c r="A470">
        <v>232</v>
      </c>
      <c r="B470">
        <v>347</v>
      </c>
      <c r="C470" t="s">
        <v>775</v>
      </c>
      <c r="D470" t="s">
        <v>220</v>
      </c>
      <c r="E470" t="s">
        <v>27</v>
      </c>
      <c r="F470" t="s">
        <v>776</v>
      </c>
      <c r="G470" t="str">
        <f>"00216432"</f>
        <v>00216432</v>
      </c>
      <c r="H470">
        <v>880</v>
      </c>
      <c r="I470">
        <v>0</v>
      </c>
      <c r="J470">
        <v>70</v>
      </c>
      <c r="K470">
        <v>30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68</v>
      </c>
      <c r="S470">
        <v>476</v>
      </c>
      <c r="T470">
        <v>0</v>
      </c>
      <c r="V470">
        <v>0</v>
      </c>
      <c r="W470">
        <v>1456</v>
      </c>
    </row>
    <row r="471" spans="1:23" x14ac:dyDescent="0.25">
      <c r="H471">
        <v>400</v>
      </c>
    </row>
    <row r="472" spans="1:23" x14ac:dyDescent="0.25">
      <c r="A472">
        <v>233</v>
      </c>
      <c r="B472">
        <v>1913</v>
      </c>
      <c r="C472" t="s">
        <v>777</v>
      </c>
      <c r="D472" t="s">
        <v>778</v>
      </c>
      <c r="E472" t="s">
        <v>21</v>
      </c>
      <c r="F472" t="s">
        <v>779</v>
      </c>
      <c r="G472" t="str">
        <f>"201506003384"</f>
        <v>201506003384</v>
      </c>
      <c r="H472" t="s">
        <v>410</v>
      </c>
      <c r="I472">
        <v>0</v>
      </c>
      <c r="J472">
        <v>70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57</v>
      </c>
      <c r="S472">
        <v>399</v>
      </c>
      <c r="T472">
        <v>0</v>
      </c>
      <c r="V472">
        <v>0</v>
      </c>
      <c r="W472" t="s">
        <v>780</v>
      </c>
    </row>
    <row r="473" spans="1:23" x14ac:dyDescent="0.25">
      <c r="H473">
        <v>400</v>
      </c>
    </row>
    <row r="474" spans="1:23" x14ac:dyDescent="0.25">
      <c r="A474">
        <v>234</v>
      </c>
      <c r="B474">
        <v>483</v>
      </c>
      <c r="C474" t="s">
        <v>781</v>
      </c>
      <c r="D474" t="s">
        <v>782</v>
      </c>
      <c r="E474" t="s">
        <v>476</v>
      </c>
      <c r="F474" t="s">
        <v>783</v>
      </c>
      <c r="G474" t="str">
        <f>"200807000515"</f>
        <v>200807000515</v>
      </c>
      <c r="H474">
        <v>715</v>
      </c>
      <c r="I474">
        <v>150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84</v>
      </c>
      <c r="S474">
        <v>588</v>
      </c>
      <c r="T474">
        <v>0</v>
      </c>
      <c r="V474">
        <v>0</v>
      </c>
      <c r="W474">
        <v>1453</v>
      </c>
    </row>
    <row r="475" spans="1:23" x14ac:dyDescent="0.25">
      <c r="H475">
        <v>400</v>
      </c>
    </row>
    <row r="476" spans="1:23" x14ac:dyDescent="0.25">
      <c r="A476">
        <v>235</v>
      </c>
      <c r="B476">
        <v>115</v>
      </c>
      <c r="C476" t="s">
        <v>784</v>
      </c>
      <c r="D476" t="s">
        <v>785</v>
      </c>
      <c r="E476" t="s">
        <v>15</v>
      </c>
      <c r="F476" t="s">
        <v>786</v>
      </c>
      <c r="G476" t="str">
        <f>"00213396"</f>
        <v>00213396</v>
      </c>
      <c r="H476" t="s">
        <v>128</v>
      </c>
      <c r="I476">
        <v>0</v>
      </c>
      <c r="J476">
        <v>30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84</v>
      </c>
      <c r="S476">
        <v>588</v>
      </c>
      <c r="T476">
        <v>0</v>
      </c>
      <c r="V476">
        <v>0</v>
      </c>
      <c r="W476" t="s">
        <v>787</v>
      </c>
    </row>
    <row r="477" spans="1:23" x14ac:dyDescent="0.25">
      <c r="H477">
        <v>400</v>
      </c>
    </row>
    <row r="478" spans="1:23" x14ac:dyDescent="0.25">
      <c r="A478">
        <v>236</v>
      </c>
      <c r="B478">
        <v>120</v>
      </c>
      <c r="C478" t="s">
        <v>192</v>
      </c>
      <c r="D478" t="s">
        <v>788</v>
      </c>
      <c r="E478" t="s">
        <v>414</v>
      </c>
      <c r="F478" t="s">
        <v>789</v>
      </c>
      <c r="G478" t="str">
        <f>"00216712"</f>
        <v>00216712</v>
      </c>
      <c r="H478" t="s">
        <v>410</v>
      </c>
      <c r="I478">
        <v>150</v>
      </c>
      <c r="J478">
        <v>30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41</v>
      </c>
      <c r="S478">
        <v>287</v>
      </c>
      <c r="T478">
        <v>0</v>
      </c>
      <c r="V478">
        <v>0</v>
      </c>
      <c r="W478" t="s">
        <v>790</v>
      </c>
    </row>
    <row r="479" spans="1:23" x14ac:dyDescent="0.25">
      <c r="H479">
        <v>400</v>
      </c>
    </row>
    <row r="480" spans="1:23" x14ac:dyDescent="0.25">
      <c r="A480">
        <v>237</v>
      </c>
      <c r="B480">
        <v>592</v>
      </c>
      <c r="C480" t="s">
        <v>791</v>
      </c>
      <c r="D480" t="s">
        <v>792</v>
      </c>
      <c r="E480" t="s">
        <v>209</v>
      </c>
      <c r="F480" t="s">
        <v>793</v>
      </c>
      <c r="G480" t="str">
        <f>"00217668"</f>
        <v>00217668</v>
      </c>
      <c r="H480" t="s">
        <v>29</v>
      </c>
      <c r="I480">
        <v>0</v>
      </c>
      <c r="J480">
        <v>30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61</v>
      </c>
      <c r="S480">
        <v>427</v>
      </c>
      <c r="T480">
        <v>0</v>
      </c>
      <c r="V480">
        <v>0</v>
      </c>
      <c r="W480" t="s">
        <v>794</v>
      </c>
    </row>
    <row r="481" spans="1:23" x14ac:dyDescent="0.25">
      <c r="H481">
        <v>400</v>
      </c>
    </row>
    <row r="482" spans="1:23" x14ac:dyDescent="0.25">
      <c r="A482">
        <v>238</v>
      </c>
      <c r="B482">
        <v>303</v>
      </c>
      <c r="C482" t="s">
        <v>795</v>
      </c>
      <c r="D482" t="s">
        <v>21</v>
      </c>
      <c r="E482" t="s">
        <v>71</v>
      </c>
      <c r="F482" t="s">
        <v>796</v>
      </c>
      <c r="G482" t="str">
        <f>"201406003628"</f>
        <v>201406003628</v>
      </c>
      <c r="H482" t="s">
        <v>41</v>
      </c>
      <c r="I482">
        <v>0</v>
      </c>
      <c r="J482">
        <v>70</v>
      </c>
      <c r="K482">
        <v>30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49</v>
      </c>
      <c r="S482">
        <v>343</v>
      </c>
      <c r="T482">
        <v>0</v>
      </c>
      <c r="V482">
        <v>0</v>
      </c>
      <c r="W482" t="s">
        <v>797</v>
      </c>
    </row>
    <row r="483" spans="1:23" x14ac:dyDescent="0.25">
      <c r="H483">
        <v>400</v>
      </c>
    </row>
    <row r="484" spans="1:23" x14ac:dyDescent="0.25">
      <c r="A484">
        <v>239</v>
      </c>
      <c r="B484">
        <v>295</v>
      </c>
      <c r="C484" t="s">
        <v>798</v>
      </c>
      <c r="D484" t="s">
        <v>744</v>
      </c>
      <c r="E484" t="s">
        <v>799</v>
      </c>
      <c r="F484" t="s">
        <v>800</v>
      </c>
      <c r="G484" t="str">
        <f>"00210018"</f>
        <v>00210018</v>
      </c>
      <c r="H484">
        <v>891</v>
      </c>
      <c r="I484">
        <v>150</v>
      </c>
      <c r="J484">
        <v>70</v>
      </c>
      <c r="K484">
        <v>30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44</v>
      </c>
      <c r="S484">
        <v>308</v>
      </c>
      <c r="T484">
        <v>0</v>
      </c>
      <c r="V484">
        <v>0</v>
      </c>
      <c r="W484">
        <v>1449</v>
      </c>
    </row>
    <row r="485" spans="1:23" x14ac:dyDescent="0.25">
      <c r="H485">
        <v>400</v>
      </c>
    </row>
    <row r="486" spans="1:23" x14ac:dyDescent="0.25">
      <c r="A486">
        <v>240</v>
      </c>
      <c r="B486">
        <v>324</v>
      </c>
      <c r="C486" t="s">
        <v>801</v>
      </c>
      <c r="D486" t="s">
        <v>209</v>
      </c>
      <c r="E486" t="s">
        <v>14</v>
      </c>
      <c r="F486" t="s">
        <v>802</v>
      </c>
      <c r="G486" t="str">
        <f>"00189544"</f>
        <v>00189544</v>
      </c>
      <c r="H486">
        <v>979</v>
      </c>
      <c r="I486">
        <v>150</v>
      </c>
      <c r="J486">
        <v>50</v>
      </c>
      <c r="K486">
        <v>30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34</v>
      </c>
      <c r="S486">
        <v>238</v>
      </c>
      <c r="T486">
        <v>0</v>
      </c>
      <c r="V486">
        <v>1</v>
      </c>
      <c r="W486">
        <v>1447</v>
      </c>
    </row>
    <row r="487" spans="1:23" x14ac:dyDescent="0.25">
      <c r="H487">
        <v>400</v>
      </c>
    </row>
    <row r="488" spans="1:23" x14ac:dyDescent="0.25">
      <c r="A488">
        <v>241</v>
      </c>
      <c r="B488">
        <v>1293</v>
      </c>
      <c r="C488" t="s">
        <v>803</v>
      </c>
      <c r="D488" t="s">
        <v>158</v>
      </c>
      <c r="E488" t="s">
        <v>27</v>
      </c>
      <c r="F488" t="s">
        <v>804</v>
      </c>
      <c r="G488" t="str">
        <f>"201604005962"</f>
        <v>201604005962</v>
      </c>
      <c r="H488" t="s">
        <v>410</v>
      </c>
      <c r="I488">
        <v>0</v>
      </c>
      <c r="J488">
        <v>70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56</v>
      </c>
      <c r="S488">
        <v>392</v>
      </c>
      <c r="T488">
        <v>0</v>
      </c>
      <c r="V488">
        <v>0</v>
      </c>
      <c r="W488" t="s">
        <v>805</v>
      </c>
    </row>
    <row r="489" spans="1:23" x14ac:dyDescent="0.25">
      <c r="H489" t="s">
        <v>76</v>
      </c>
    </row>
    <row r="490" spans="1:23" x14ac:dyDescent="0.25">
      <c r="A490">
        <v>242</v>
      </c>
      <c r="B490">
        <v>665</v>
      </c>
      <c r="C490" t="s">
        <v>806</v>
      </c>
      <c r="D490" t="s">
        <v>241</v>
      </c>
      <c r="E490" t="s">
        <v>467</v>
      </c>
      <c r="F490" t="s">
        <v>807</v>
      </c>
      <c r="G490" t="str">
        <f>"00214609"</f>
        <v>00214609</v>
      </c>
      <c r="H490" t="s">
        <v>174</v>
      </c>
      <c r="I490">
        <v>150</v>
      </c>
      <c r="J490">
        <v>70</v>
      </c>
      <c r="K490">
        <v>0</v>
      </c>
      <c r="L490">
        <v>50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29</v>
      </c>
      <c r="S490">
        <v>203</v>
      </c>
      <c r="T490">
        <v>0</v>
      </c>
      <c r="V490">
        <v>0</v>
      </c>
      <c r="W490" t="s">
        <v>805</v>
      </c>
    </row>
    <row r="491" spans="1:23" x14ac:dyDescent="0.25">
      <c r="H491">
        <v>400</v>
      </c>
    </row>
    <row r="492" spans="1:23" x14ac:dyDescent="0.25">
      <c r="A492">
        <v>243</v>
      </c>
      <c r="B492">
        <v>1425</v>
      </c>
      <c r="C492" t="s">
        <v>808</v>
      </c>
      <c r="D492" t="s">
        <v>468</v>
      </c>
      <c r="E492" t="s">
        <v>71</v>
      </c>
      <c r="F492" t="s">
        <v>809</v>
      </c>
      <c r="G492" t="str">
        <f>"00212616"</f>
        <v>00212616</v>
      </c>
      <c r="H492" t="s">
        <v>35</v>
      </c>
      <c r="I492">
        <v>0</v>
      </c>
      <c r="J492">
        <v>70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48</v>
      </c>
      <c r="S492">
        <v>336</v>
      </c>
      <c r="T492">
        <v>0</v>
      </c>
      <c r="V492">
        <v>0</v>
      </c>
      <c r="W492" t="s">
        <v>810</v>
      </c>
    </row>
    <row r="493" spans="1:23" x14ac:dyDescent="0.25">
      <c r="H493">
        <v>400</v>
      </c>
    </row>
    <row r="494" spans="1:23" x14ac:dyDescent="0.25">
      <c r="A494">
        <v>244</v>
      </c>
      <c r="B494">
        <v>1344</v>
      </c>
      <c r="C494" t="s">
        <v>811</v>
      </c>
      <c r="D494" t="s">
        <v>812</v>
      </c>
      <c r="E494" t="s">
        <v>15</v>
      </c>
      <c r="F494" t="s">
        <v>813</v>
      </c>
      <c r="G494" t="str">
        <f>"00217980"</f>
        <v>00217980</v>
      </c>
      <c r="H494">
        <v>1012</v>
      </c>
      <c r="I494">
        <v>150</v>
      </c>
      <c r="J494">
        <v>30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36</v>
      </c>
      <c r="S494">
        <v>252</v>
      </c>
      <c r="T494">
        <v>0</v>
      </c>
      <c r="V494">
        <v>0</v>
      </c>
      <c r="W494">
        <v>1444</v>
      </c>
    </row>
    <row r="495" spans="1:23" x14ac:dyDescent="0.25">
      <c r="H495" t="s">
        <v>76</v>
      </c>
    </row>
    <row r="496" spans="1:23" x14ac:dyDescent="0.25">
      <c r="A496">
        <v>245</v>
      </c>
      <c r="B496">
        <v>916</v>
      </c>
      <c r="C496" t="s">
        <v>814</v>
      </c>
      <c r="D496" t="s">
        <v>343</v>
      </c>
      <c r="E496" t="s">
        <v>21</v>
      </c>
      <c r="F496" t="s">
        <v>815</v>
      </c>
      <c r="G496" t="str">
        <f>"00128068"</f>
        <v>00128068</v>
      </c>
      <c r="H496">
        <v>825</v>
      </c>
      <c r="I496">
        <v>0</v>
      </c>
      <c r="J496">
        <v>30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84</v>
      </c>
      <c r="S496">
        <v>588</v>
      </c>
      <c r="T496">
        <v>0</v>
      </c>
      <c r="V496">
        <v>0</v>
      </c>
      <c r="W496">
        <v>1443</v>
      </c>
    </row>
    <row r="497" spans="1:23" x14ac:dyDescent="0.25">
      <c r="H497">
        <v>400</v>
      </c>
    </row>
    <row r="498" spans="1:23" x14ac:dyDescent="0.25">
      <c r="A498">
        <v>246</v>
      </c>
      <c r="B498">
        <v>1580</v>
      </c>
      <c r="C498" t="s">
        <v>816</v>
      </c>
      <c r="D498" t="s">
        <v>817</v>
      </c>
      <c r="E498" t="s">
        <v>163</v>
      </c>
      <c r="F498" t="s">
        <v>818</v>
      </c>
      <c r="G498" t="str">
        <f>"201405000509"</f>
        <v>201405000509</v>
      </c>
      <c r="H498">
        <v>825</v>
      </c>
      <c r="I498">
        <v>0</v>
      </c>
      <c r="J498">
        <v>30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84</v>
      </c>
      <c r="S498">
        <v>588</v>
      </c>
      <c r="T498">
        <v>0</v>
      </c>
      <c r="V498">
        <v>0</v>
      </c>
      <c r="W498">
        <v>1443</v>
      </c>
    </row>
    <row r="499" spans="1:23" x14ac:dyDescent="0.25">
      <c r="H499">
        <v>400</v>
      </c>
    </row>
    <row r="500" spans="1:23" x14ac:dyDescent="0.25">
      <c r="A500">
        <v>247</v>
      </c>
      <c r="B500">
        <v>1548</v>
      </c>
      <c r="C500" t="s">
        <v>819</v>
      </c>
      <c r="D500" t="s">
        <v>820</v>
      </c>
      <c r="E500" t="s">
        <v>87</v>
      </c>
      <c r="F500" t="s">
        <v>821</v>
      </c>
      <c r="G500" t="str">
        <f>"201512004903"</f>
        <v>201512004903</v>
      </c>
      <c r="H500">
        <v>825</v>
      </c>
      <c r="I500">
        <v>0</v>
      </c>
      <c r="J500">
        <v>30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84</v>
      </c>
      <c r="S500">
        <v>588</v>
      </c>
      <c r="T500">
        <v>0</v>
      </c>
      <c r="V500">
        <v>0</v>
      </c>
      <c r="W500">
        <v>1443</v>
      </c>
    </row>
    <row r="501" spans="1:23" x14ac:dyDescent="0.25">
      <c r="H501">
        <v>400</v>
      </c>
    </row>
    <row r="502" spans="1:23" x14ac:dyDescent="0.25">
      <c r="A502">
        <v>248</v>
      </c>
      <c r="B502">
        <v>982</v>
      </c>
      <c r="C502" t="s">
        <v>822</v>
      </c>
      <c r="D502" t="s">
        <v>467</v>
      </c>
      <c r="E502" t="s">
        <v>71</v>
      </c>
      <c r="F502" t="s">
        <v>823</v>
      </c>
      <c r="G502" t="str">
        <f>"201401000975"</f>
        <v>201401000975</v>
      </c>
      <c r="H502" t="s">
        <v>371</v>
      </c>
      <c r="I502">
        <v>0</v>
      </c>
      <c r="J502">
        <v>30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63</v>
      </c>
      <c r="S502">
        <v>441</v>
      </c>
      <c r="T502">
        <v>0</v>
      </c>
      <c r="V502">
        <v>0</v>
      </c>
      <c r="W502" t="s">
        <v>824</v>
      </c>
    </row>
    <row r="503" spans="1:23" x14ac:dyDescent="0.25">
      <c r="H503">
        <v>400</v>
      </c>
    </row>
    <row r="504" spans="1:23" x14ac:dyDescent="0.25">
      <c r="A504">
        <v>249</v>
      </c>
      <c r="B504">
        <v>1694</v>
      </c>
      <c r="C504" t="s">
        <v>825</v>
      </c>
      <c r="D504" t="s">
        <v>21</v>
      </c>
      <c r="E504" t="s">
        <v>144</v>
      </c>
      <c r="F504" t="s">
        <v>826</v>
      </c>
      <c r="G504" t="str">
        <f>"201406004047"</f>
        <v>201406004047</v>
      </c>
      <c r="H504">
        <v>935</v>
      </c>
      <c r="I504">
        <v>150</v>
      </c>
      <c r="J504">
        <v>70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41</v>
      </c>
      <c r="S504">
        <v>287</v>
      </c>
      <c r="T504">
        <v>0</v>
      </c>
      <c r="V504">
        <v>0</v>
      </c>
      <c r="W504">
        <v>1442</v>
      </c>
    </row>
    <row r="505" spans="1:23" x14ac:dyDescent="0.25">
      <c r="H505">
        <v>400</v>
      </c>
    </row>
    <row r="506" spans="1:23" x14ac:dyDescent="0.25">
      <c r="A506">
        <v>250</v>
      </c>
      <c r="B506">
        <v>481</v>
      </c>
      <c r="C506" t="s">
        <v>827</v>
      </c>
      <c r="D506" t="s">
        <v>251</v>
      </c>
      <c r="E506" t="s">
        <v>828</v>
      </c>
      <c r="F506" t="s">
        <v>829</v>
      </c>
      <c r="G506" t="str">
        <f>"00217730"</f>
        <v>00217730</v>
      </c>
      <c r="H506" t="s">
        <v>174</v>
      </c>
      <c r="I506">
        <v>150</v>
      </c>
      <c r="J506">
        <v>70</v>
      </c>
      <c r="K506">
        <v>0</v>
      </c>
      <c r="L506">
        <v>50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24</v>
      </c>
      <c r="S506">
        <v>168</v>
      </c>
      <c r="T506">
        <v>0</v>
      </c>
      <c r="V506">
        <v>0</v>
      </c>
      <c r="W506" t="s">
        <v>830</v>
      </c>
    </row>
    <row r="507" spans="1:23" x14ac:dyDescent="0.25">
      <c r="H507">
        <v>400</v>
      </c>
    </row>
    <row r="508" spans="1:23" x14ac:dyDescent="0.25">
      <c r="A508">
        <v>251</v>
      </c>
      <c r="B508">
        <v>1109</v>
      </c>
      <c r="C508" t="s">
        <v>831</v>
      </c>
      <c r="D508" t="s">
        <v>187</v>
      </c>
      <c r="E508" t="s">
        <v>832</v>
      </c>
      <c r="F508" t="s">
        <v>833</v>
      </c>
      <c r="G508" t="str">
        <f>"00216926"</f>
        <v>00216926</v>
      </c>
      <c r="H508" t="s">
        <v>834</v>
      </c>
      <c r="I508">
        <v>0</v>
      </c>
      <c r="J508">
        <v>30</v>
      </c>
      <c r="K508">
        <v>30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84</v>
      </c>
      <c r="S508">
        <v>588</v>
      </c>
      <c r="T508">
        <v>0</v>
      </c>
      <c r="V508">
        <v>0</v>
      </c>
      <c r="W508" t="s">
        <v>835</v>
      </c>
    </row>
    <row r="509" spans="1:23" x14ac:dyDescent="0.25">
      <c r="H509" t="s">
        <v>76</v>
      </c>
    </row>
    <row r="510" spans="1:23" x14ac:dyDescent="0.25">
      <c r="A510">
        <v>252</v>
      </c>
      <c r="B510">
        <v>297</v>
      </c>
      <c r="C510" t="s">
        <v>836</v>
      </c>
      <c r="D510" t="s">
        <v>33</v>
      </c>
      <c r="E510" t="s">
        <v>158</v>
      </c>
      <c r="F510" t="s">
        <v>837</v>
      </c>
      <c r="G510" t="str">
        <f>"201411003399"</f>
        <v>201411003399</v>
      </c>
      <c r="H510">
        <v>825</v>
      </c>
      <c r="I510">
        <v>0</v>
      </c>
      <c r="J510">
        <v>70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78</v>
      </c>
      <c r="S510">
        <v>546</v>
      </c>
      <c r="T510">
        <v>0</v>
      </c>
      <c r="V510">
        <v>0</v>
      </c>
      <c r="W510">
        <v>1441</v>
      </c>
    </row>
    <row r="511" spans="1:23" x14ac:dyDescent="0.25">
      <c r="H511">
        <v>400</v>
      </c>
    </row>
    <row r="512" spans="1:23" x14ac:dyDescent="0.25">
      <c r="A512">
        <v>253</v>
      </c>
      <c r="B512">
        <v>1099</v>
      </c>
      <c r="C512" t="s">
        <v>838</v>
      </c>
      <c r="D512" t="s">
        <v>839</v>
      </c>
      <c r="E512" t="s">
        <v>840</v>
      </c>
      <c r="F512" t="s">
        <v>841</v>
      </c>
      <c r="G512" t="str">
        <f>"00215444"</f>
        <v>00215444</v>
      </c>
      <c r="H512" t="s">
        <v>842</v>
      </c>
      <c r="I512">
        <v>150</v>
      </c>
      <c r="J512">
        <v>70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35</v>
      </c>
      <c r="S512">
        <v>245</v>
      </c>
      <c r="T512">
        <v>0</v>
      </c>
      <c r="V512">
        <v>0</v>
      </c>
      <c r="W512" t="s">
        <v>843</v>
      </c>
    </row>
    <row r="513" spans="1:23" x14ac:dyDescent="0.25">
      <c r="H513">
        <v>400</v>
      </c>
    </row>
    <row r="514" spans="1:23" x14ac:dyDescent="0.25">
      <c r="A514">
        <v>254</v>
      </c>
      <c r="B514">
        <v>477</v>
      </c>
      <c r="C514" t="s">
        <v>844</v>
      </c>
      <c r="D514" t="s">
        <v>241</v>
      </c>
      <c r="E514" t="s">
        <v>15</v>
      </c>
      <c r="F514" t="s">
        <v>845</v>
      </c>
      <c r="G514" t="str">
        <f>"201406012503"</f>
        <v>201406012503</v>
      </c>
      <c r="H514">
        <v>781</v>
      </c>
      <c r="I514">
        <v>0</v>
      </c>
      <c r="J514">
        <v>70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84</v>
      </c>
      <c r="S514">
        <v>588</v>
      </c>
      <c r="T514">
        <v>0</v>
      </c>
      <c r="V514">
        <v>0</v>
      </c>
      <c r="W514">
        <v>1439</v>
      </c>
    </row>
    <row r="515" spans="1:23" x14ac:dyDescent="0.25">
      <c r="H515">
        <v>400</v>
      </c>
    </row>
    <row r="516" spans="1:23" x14ac:dyDescent="0.25">
      <c r="A516">
        <v>255</v>
      </c>
      <c r="B516">
        <v>597</v>
      </c>
      <c r="C516" t="s">
        <v>846</v>
      </c>
      <c r="D516" t="s">
        <v>187</v>
      </c>
      <c r="E516" t="s">
        <v>49</v>
      </c>
      <c r="F516" t="s">
        <v>847</v>
      </c>
      <c r="G516" t="str">
        <f>"201406015836"</f>
        <v>201406015836</v>
      </c>
      <c r="H516">
        <v>979</v>
      </c>
      <c r="I516">
        <v>0</v>
      </c>
      <c r="J516">
        <v>70</v>
      </c>
      <c r="K516">
        <v>30</v>
      </c>
      <c r="L516">
        <v>30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47</v>
      </c>
      <c r="S516">
        <v>329</v>
      </c>
      <c r="T516">
        <v>0</v>
      </c>
      <c r="V516">
        <v>0</v>
      </c>
      <c r="W516">
        <v>1438</v>
      </c>
    </row>
    <row r="517" spans="1:23" x14ac:dyDescent="0.25">
      <c r="H517">
        <v>400</v>
      </c>
    </row>
    <row r="518" spans="1:23" x14ac:dyDescent="0.25">
      <c r="A518">
        <v>256</v>
      </c>
      <c r="B518">
        <v>43</v>
      </c>
      <c r="C518" t="s">
        <v>848</v>
      </c>
      <c r="D518" t="s">
        <v>792</v>
      </c>
      <c r="E518" t="s">
        <v>15</v>
      </c>
      <c r="F518" t="s">
        <v>849</v>
      </c>
      <c r="G518" t="str">
        <f>"00217837"</f>
        <v>00217837</v>
      </c>
      <c r="H518" t="s">
        <v>850</v>
      </c>
      <c r="I518">
        <v>150</v>
      </c>
      <c r="J518">
        <v>30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84</v>
      </c>
      <c r="S518">
        <v>588</v>
      </c>
      <c r="T518">
        <v>0</v>
      </c>
      <c r="V518">
        <v>0</v>
      </c>
      <c r="W518" t="s">
        <v>851</v>
      </c>
    </row>
    <row r="519" spans="1:23" x14ac:dyDescent="0.25">
      <c r="H519">
        <v>400</v>
      </c>
    </row>
    <row r="520" spans="1:23" x14ac:dyDescent="0.25">
      <c r="A520">
        <v>257</v>
      </c>
      <c r="B520">
        <v>1692</v>
      </c>
      <c r="C520" t="s">
        <v>852</v>
      </c>
      <c r="D520" t="s">
        <v>20</v>
      </c>
      <c r="E520" t="s">
        <v>853</v>
      </c>
      <c r="F520" t="s">
        <v>854</v>
      </c>
      <c r="G520" t="str">
        <f>"00088710"</f>
        <v>00088710</v>
      </c>
      <c r="H520">
        <v>814</v>
      </c>
      <c r="I520">
        <v>0</v>
      </c>
      <c r="J520">
        <v>30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84</v>
      </c>
      <c r="S520">
        <v>588</v>
      </c>
      <c r="T520">
        <v>0</v>
      </c>
      <c r="V520">
        <v>1</v>
      </c>
      <c r="W520">
        <v>1432</v>
      </c>
    </row>
    <row r="521" spans="1:23" x14ac:dyDescent="0.25">
      <c r="H521" t="s">
        <v>855</v>
      </c>
    </row>
    <row r="522" spans="1:23" x14ac:dyDescent="0.25">
      <c r="A522">
        <v>258</v>
      </c>
      <c r="B522">
        <v>523</v>
      </c>
      <c r="C522" t="s">
        <v>856</v>
      </c>
      <c r="D522" t="s">
        <v>209</v>
      </c>
      <c r="E522" t="s">
        <v>71</v>
      </c>
      <c r="F522" t="s">
        <v>857</v>
      </c>
      <c r="G522" t="str">
        <f>"00119291"</f>
        <v>00119291</v>
      </c>
      <c r="H522">
        <v>1045</v>
      </c>
      <c r="I522">
        <v>0</v>
      </c>
      <c r="J522">
        <v>50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48</v>
      </c>
      <c r="S522">
        <v>336</v>
      </c>
      <c r="T522">
        <v>0</v>
      </c>
      <c r="V522">
        <v>0</v>
      </c>
      <c r="W522">
        <v>1431</v>
      </c>
    </row>
    <row r="523" spans="1:23" x14ac:dyDescent="0.25">
      <c r="H523">
        <v>400</v>
      </c>
    </row>
    <row r="524" spans="1:23" x14ac:dyDescent="0.25">
      <c r="A524">
        <v>259</v>
      </c>
      <c r="B524">
        <v>1551</v>
      </c>
      <c r="C524" t="s">
        <v>858</v>
      </c>
      <c r="D524" t="s">
        <v>192</v>
      </c>
      <c r="E524" t="s">
        <v>859</v>
      </c>
      <c r="F524" t="s">
        <v>860</v>
      </c>
      <c r="G524" t="str">
        <f>"00210090"</f>
        <v>00210090</v>
      </c>
      <c r="H524" t="s">
        <v>861</v>
      </c>
      <c r="I524">
        <v>150</v>
      </c>
      <c r="J524">
        <v>30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71</v>
      </c>
      <c r="S524">
        <v>497</v>
      </c>
      <c r="T524">
        <v>0</v>
      </c>
      <c r="V524">
        <v>0</v>
      </c>
      <c r="W524" t="s">
        <v>862</v>
      </c>
    </row>
    <row r="525" spans="1:23" x14ac:dyDescent="0.25">
      <c r="H525">
        <v>400</v>
      </c>
    </row>
    <row r="526" spans="1:23" x14ac:dyDescent="0.25">
      <c r="A526">
        <v>260</v>
      </c>
      <c r="B526">
        <v>1789</v>
      </c>
      <c r="C526" t="s">
        <v>863</v>
      </c>
      <c r="D526" t="s">
        <v>864</v>
      </c>
      <c r="E526" t="s">
        <v>15</v>
      </c>
      <c r="F526" t="s">
        <v>865</v>
      </c>
      <c r="G526" t="str">
        <f>"201406005742"</f>
        <v>201406005742</v>
      </c>
      <c r="H526">
        <v>1067</v>
      </c>
      <c r="I526">
        <v>0</v>
      </c>
      <c r="J526">
        <v>50</v>
      </c>
      <c r="K526">
        <v>30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40</v>
      </c>
      <c r="S526">
        <v>280</v>
      </c>
      <c r="T526">
        <v>0</v>
      </c>
      <c r="V526">
        <v>0</v>
      </c>
      <c r="W526">
        <v>1427</v>
      </c>
    </row>
    <row r="527" spans="1:23" x14ac:dyDescent="0.25">
      <c r="H527">
        <v>400</v>
      </c>
    </row>
    <row r="528" spans="1:23" x14ac:dyDescent="0.25">
      <c r="A528">
        <v>261</v>
      </c>
      <c r="B528">
        <v>162</v>
      </c>
      <c r="C528" t="s">
        <v>866</v>
      </c>
      <c r="D528" t="s">
        <v>125</v>
      </c>
      <c r="E528" t="s">
        <v>15</v>
      </c>
      <c r="F528" t="s">
        <v>867</v>
      </c>
      <c r="G528" t="str">
        <f>"201406004797"</f>
        <v>201406004797</v>
      </c>
      <c r="H528" t="s">
        <v>868</v>
      </c>
      <c r="I528">
        <v>0</v>
      </c>
      <c r="J528">
        <v>30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84</v>
      </c>
      <c r="S528">
        <v>588</v>
      </c>
      <c r="T528">
        <v>0</v>
      </c>
      <c r="V528">
        <v>1</v>
      </c>
      <c r="W528" t="s">
        <v>869</v>
      </c>
    </row>
    <row r="529" spans="1:23" x14ac:dyDescent="0.25">
      <c r="H529">
        <v>400</v>
      </c>
    </row>
    <row r="530" spans="1:23" x14ac:dyDescent="0.25">
      <c r="A530">
        <v>262</v>
      </c>
      <c r="B530">
        <v>902</v>
      </c>
      <c r="C530" t="s">
        <v>870</v>
      </c>
      <c r="D530" t="s">
        <v>871</v>
      </c>
      <c r="E530" t="s">
        <v>158</v>
      </c>
      <c r="F530" t="s">
        <v>872</v>
      </c>
      <c r="G530" t="str">
        <f>"201406014604"</f>
        <v>201406014604</v>
      </c>
      <c r="H530">
        <v>990</v>
      </c>
      <c r="I530">
        <v>0</v>
      </c>
      <c r="J530">
        <v>70</v>
      </c>
      <c r="K530">
        <v>0</v>
      </c>
      <c r="L530">
        <v>30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48</v>
      </c>
      <c r="S530">
        <v>336</v>
      </c>
      <c r="T530">
        <v>0</v>
      </c>
      <c r="V530">
        <v>0</v>
      </c>
      <c r="W530">
        <v>1426</v>
      </c>
    </row>
    <row r="531" spans="1:23" x14ac:dyDescent="0.25">
      <c r="H531">
        <v>400</v>
      </c>
    </row>
    <row r="532" spans="1:23" x14ac:dyDescent="0.25">
      <c r="A532">
        <v>263</v>
      </c>
      <c r="B532">
        <v>1327</v>
      </c>
      <c r="C532" t="s">
        <v>873</v>
      </c>
      <c r="D532" t="s">
        <v>20</v>
      </c>
      <c r="E532" t="s">
        <v>158</v>
      </c>
      <c r="F532" t="s">
        <v>874</v>
      </c>
      <c r="G532" t="str">
        <f>"200802001513"</f>
        <v>200802001513</v>
      </c>
      <c r="H532" t="s">
        <v>875</v>
      </c>
      <c r="I532">
        <v>0</v>
      </c>
      <c r="J532">
        <v>70</v>
      </c>
      <c r="K532">
        <v>30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39</v>
      </c>
      <c r="S532">
        <v>273</v>
      </c>
      <c r="T532">
        <v>0</v>
      </c>
      <c r="V532">
        <v>0</v>
      </c>
      <c r="W532" t="s">
        <v>876</v>
      </c>
    </row>
    <row r="533" spans="1:23" x14ac:dyDescent="0.25">
      <c r="H533">
        <v>400</v>
      </c>
    </row>
    <row r="534" spans="1:23" x14ac:dyDescent="0.25">
      <c r="A534">
        <v>264</v>
      </c>
      <c r="B534">
        <v>392</v>
      </c>
      <c r="C534" t="s">
        <v>877</v>
      </c>
      <c r="D534" t="s">
        <v>180</v>
      </c>
      <c r="E534" t="s">
        <v>414</v>
      </c>
      <c r="F534" t="s">
        <v>878</v>
      </c>
      <c r="G534" t="str">
        <f>"201305000101"</f>
        <v>201305000101</v>
      </c>
      <c r="H534">
        <v>957</v>
      </c>
      <c r="I534">
        <v>0</v>
      </c>
      <c r="J534">
        <v>70</v>
      </c>
      <c r="K534">
        <v>0</v>
      </c>
      <c r="L534">
        <v>0</v>
      </c>
      <c r="M534">
        <v>50</v>
      </c>
      <c r="N534">
        <v>30</v>
      </c>
      <c r="O534">
        <v>0</v>
      </c>
      <c r="P534">
        <v>0</v>
      </c>
      <c r="Q534">
        <v>0</v>
      </c>
      <c r="R534">
        <v>45</v>
      </c>
      <c r="S534">
        <v>315</v>
      </c>
      <c r="T534">
        <v>0</v>
      </c>
      <c r="V534">
        <v>1</v>
      </c>
      <c r="W534">
        <v>1422</v>
      </c>
    </row>
    <row r="535" spans="1:23" x14ac:dyDescent="0.25">
      <c r="H535">
        <v>400</v>
      </c>
    </row>
    <row r="536" spans="1:23" x14ac:dyDescent="0.25">
      <c r="A536">
        <v>265</v>
      </c>
      <c r="B536">
        <v>1654</v>
      </c>
      <c r="C536" t="s">
        <v>879</v>
      </c>
      <c r="D536" t="s">
        <v>880</v>
      </c>
      <c r="E536" t="s">
        <v>49</v>
      </c>
      <c r="F536" t="s">
        <v>881</v>
      </c>
      <c r="G536" t="str">
        <f>"00150287"</f>
        <v>00150287</v>
      </c>
      <c r="H536">
        <v>803</v>
      </c>
      <c r="I536">
        <v>0</v>
      </c>
      <c r="J536">
        <v>30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84</v>
      </c>
      <c r="S536">
        <v>588</v>
      </c>
      <c r="T536">
        <v>0</v>
      </c>
      <c r="V536">
        <v>0</v>
      </c>
      <c r="W536">
        <v>1421</v>
      </c>
    </row>
    <row r="537" spans="1:23" x14ac:dyDescent="0.25">
      <c r="H537">
        <v>400</v>
      </c>
    </row>
    <row r="538" spans="1:23" x14ac:dyDescent="0.25">
      <c r="A538">
        <v>266</v>
      </c>
      <c r="B538">
        <v>1786</v>
      </c>
      <c r="C538" t="s">
        <v>882</v>
      </c>
      <c r="D538" t="s">
        <v>883</v>
      </c>
      <c r="E538" t="s">
        <v>209</v>
      </c>
      <c r="F538" t="s">
        <v>884</v>
      </c>
      <c r="G538" t="str">
        <f>"00215328"</f>
        <v>00215328</v>
      </c>
      <c r="H538" t="s">
        <v>41</v>
      </c>
      <c r="I538">
        <v>0</v>
      </c>
      <c r="J538">
        <v>70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49</v>
      </c>
      <c r="S538">
        <v>343</v>
      </c>
      <c r="T538">
        <v>0</v>
      </c>
      <c r="V538">
        <v>0</v>
      </c>
      <c r="W538" t="s">
        <v>885</v>
      </c>
    </row>
    <row r="539" spans="1:23" x14ac:dyDescent="0.25">
      <c r="H539">
        <v>400</v>
      </c>
    </row>
    <row r="540" spans="1:23" x14ac:dyDescent="0.25">
      <c r="A540">
        <v>267</v>
      </c>
      <c r="B540">
        <v>1763</v>
      </c>
      <c r="C540" t="s">
        <v>886</v>
      </c>
      <c r="D540" t="s">
        <v>78</v>
      </c>
      <c r="E540" t="s">
        <v>71</v>
      </c>
      <c r="F540" t="s">
        <v>887</v>
      </c>
      <c r="G540" t="str">
        <f>"00209832"</f>
        <v>00209832</v>
      </c>
      <c r="H540">
        <v>781</v>
      </c>
      <c r="I540">
        <v>0</v>
      </c>
      <c r="J540">
        <v>50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84</v>
      </c>
      <c r="S540">
        <v>588</v>
      </c>
      <c r="T540">
        <v>0</v>
      </c>
      <c r="V540">
        <v>1</v>
      </c>
      <c r="W540">
        <v>1419</v>
      </c>
    </row>
    <row r="541" spans="1:23" x14ac:dyDescent="0.25">
      <c r="H541">
        <v>400</v>
      </c>
    </row>
    <row r="542" spans="1:23" x14ac:dyDescent="0.25">
      <c r="A542">
        <v>268</v>
      </c>
      <c r="B542">
        <v>479</v>
      </c>
      <c r="C542" t="s">
        <v>888</v>
      </c>
      <c r="D542" t="s">
        <v>74</v>
      </c>
      <c r="E542" t="s">
        <v>200</v>
      </c>
      <c r="F542" t="s">
        <v>889</v>
      </c>
      <c r="G542" t="str">
        <f>"201402002891"</f>
        <v>201402002891</v>
      </c>
      <c r="H542">
        <v>1023</v>
      </c>
      <c r="I542">
        <v>150</v>
      </c>
      <c r="J542">
        <v>70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25</v>
      </c>
      <c r="S542">
        <v>175</v>
      </c>
      <c r="T542">
        <v>0</v>
      </c>
      <c r="V542">
        <v>0</v>
      </c>
      <c r="W542">
        <v>1418</v>
      </c>
    </row>
    <row r="543" spans="1:23" x14ac:dyDescent="0.25">
      <c r="H543">
        <v>400</v>
      </c>
    </row>
    <row r="544" spans="1:23" x14ac:dyDescent="0.25">
      <c r="A544">
        <v>269</v>
      </c>
      <c r="B544">
        <v>679</v>
      </c>
      <c r="C544" t="s">
        <v>890</v>
      </c>
      <c r="D544" t="s">
        <v>552</v>
      </c>
      <c r="E544" t="s">
        <v>59</v>
      </c>
      <c r="F544" t="s">
        <v>891</v>
      </c>
      <c r="G544" t="str">
        <f>"00141995"</f>
        <v>00141995</v>
      </c>
      <c r="H544">
        <v>770</v>
      </c>
      <c r="I544">
        <v>0</v>
      </c>
      <c r="J544">
        <v>30</v>
      </c>
      <c r="K544">
        <v>0</v>
      </c>
      <c r="L544">
        <v>0</v>
      </c>
      <c r="M544">
        <v>30</v>
      </c>
      <c r="N544">
        <v>0</v>
      </c>
      <c r="O544">
        <v>0</v>
      </c>
      <c r="P544">
        <v>0</v>
      </c>
      <c r="Q544">
        <v>0</v>
      </c>
      <c r="R544">
        <v>84</v>
      </c>
      <c r="S544">
        <v>588</v>
      </c>
      <c r="T544">
        <v>0</v>
      </c>
      <c r="V544">
        <v>0</v>
      </c>
      <c r="W544">
        <v>1418</v>
      </c>
    </row>
    <row r="545" spans="1:23" x14ac:dyDescent="0.25">
      <c r="H545">
        <v>400</v>
      </c>
    </row>
    <row r="546" spans="1:23" x14ac:dyDescent="0.25">
      <c r="A546">
        <v>270</v>
      </c>
      <c r="B546">
        <v>695</v>
      </c>
      <c r="C546" t="s">
        <v>892</v>
      </c>
      <c r="D546" t="s">
        <v>620</v>
      </c>
      <c r="E546" t="s">
        <v>209</v>
      </c>
      <c r="F546" t="s">
        <v>893</v>
      </c>
      <c r="G546" t="str">
        <f>"201304003153"</f>
        <v>201304003153</v>
      </c>
      <c r="H546">
        <v>957</v>
      </c>
      <c r="I546">
        <v>0</v>
      </c>
      <c r="J546">
        <v>30</v>
      </c>
      <c r="K546">
        <v>0</v>
      </c>
      <c r="L546">
        <v>0</v>
      </c>
      <c r="M546">
        <v>30</v>
      </c>
      <c r="N546">
        <v>0</v>
      </c>
      <c r="O546">
        <v>0</v>
      </c>
      <c r="P546">
        <v>0</v>
      </c>
      <c r="Q546">
        <v>0</v>
      </c>
      <c r="R546">
        <v>57</v>
      </c>
      <c r="S546">
        <v>399</v>
      </c>
      <c r="T546">
        <v>0</v>
      </c>
      <c r="V546">
        <v>1</v>
      </c>
      <c r="W546">
        <v>1416</v>
      </c>
    </row>
    <row r="547" spans="1:23" x14ac:dyDescent="0.25">
      <c r="H547">
        <v>400</v>
      </c>
    </row>
    <row r="548" spans="1:23" x14ac:dyDescent="0.25">
      <c r="A548">
        <v>271</v>
      </c>
      <c r="B548">
        <v>168</v>
      </c>
      <c r="C548" t="s">
        <v>894</v>
      </c>
      <c r="D548" t="s">
        <v>71</v>
      </c>
      <c r="E548" t="s">
        <v>27</v>
      </c>
      <c r="F548" t="s">
        <v>895</v>
      </c>
      <c r="G548" t="str">
        <f>"201304000107"</f>
        <v>201304000107</v>
      </c>
      <c r="H548">
        <v>891</v>
      </c>
      <c r="I548">
        <v>0</v>
      </c>
      <c r="J548">
        <v>70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65</v>
      </c>
      <c r="S548">
        <v>455</v>
      </c>
      <c r="T548">
        <v>0</v>
      </c>
      <c r="V548">
        <v>0</v>
      </c>
      <c r="W548">
        <v>1416</v>
      </c>
    </row>
    <row r="549" spans="1:23" x14ac:dyDescent="0.25">
      <c r="H549">
        <v>400</v>
      </c>
    </row>
    <row r="550" spans="1:23" x14ac:dyDescent="0.25">
      <c r="A550">
        <v>272</v>
      </c>
      <c r="B550">
        <v>376</v>
      </c>
      <c r="C550" t="s">
        <v>896</v>
      </c>
      <c r="D550" t="s">
        <v>401</v>
      </c>
      <c r="E550" t="s">
        <v>209</v>
      </c>
      <c r="F550" t="s">
        <v>897</v>
      </c>
      <c r="G550" t="str">
        <f>"201406013701"</f>
        <v>201406013701</v>
      </c>
      <c r="H550" t="s">
        <v>352</v>
      </c>
      <c r="I550">
        <v>0</v>
      </c>
      <c r="J550">
        <v>30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84</v>
      </c>
      <c r="S550">
        <v>588</v>
      </c>
      <c r="T550">
        <v>0</v>
      </c>
      <c r="V550">
        <v>0</v>
      </c>
      <c r="W550" t="s">
        <v>898</v>
      </c>
    </row>
    <row r="551" spans="1:23" x14ac:dyDescent="0.25">
      <c r="H551">
        <v>400</v>
      </c>
    </row>
    <row r="552" spans="1:23" x14ac:dyDescent="0.25">
      <c r="A552">
        <v>273</v>
      </c>
      <c r="B552">
        <v>452</v>
      </c>
      <c r="C552" t="s">
        <v>899</v>
      </c>
      <c r="D552" t="s">
        <v>177</v>
      </c>
      <c r="E552" t="s">
        <v>291</v>
      </c>
      <c r="F552" t="s">
        <v>900</v>
      </c>
      <c r="G552" t="str">
        <f>"201506000822"</f>
        <v>201506000822</v>
      </c>
      <c r="H552">
        <v>979</v>
      </c>
      <c r="I552">
        <v>0</v>
      </c>
      <c r="J552">
        <v>30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58</v>
      </c>
      <c r="S552">
        <v>406</v>
      </c>
      <c r="T552">
        <v>0</v>
      </c>
      <c r="V552">
        <v>0</v>
      </c>
      <c r="W552">
        <v>1415</v>
      </c>
    </row>
    <row r="553" spans="1:23" x14ac:dyDescent="0.25">
      <c r="H553">
        <v>400</v>
      </c>
    </row>
    <row r="554" spans="1:23" x14ac:dyDescent="0.25">
      <c r="A554">
        <v>274</v>
      </c>
      <c r="B554">
        <v>1113</v>
      </c>
      <c r="C554" t="s">
        <v>901</v>
      </c>
      <c r="D554" t="s">
        <v>401</v>
      </c>
      <c r="E554" t="s">
        <v>209</v>
      </c>
      <c r="F554" t="s">
        <v>902</v>
      </c>
      <c r="G554" t="str">
        <f>"201410009899"</f>
        <v>201410009899</v>
      </c>
      <c r="H554">
        <v>1034</v>
      </c>
      <c r="I554">
        <v>0</v>
      </c>
      <c r="J554">
        <v>70</v>
      </c>
      <c r="K554">
        <v>30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40</v>
      </c>
      <c r="S554">
        <v>280</v>
      </c>
      <c r="T554">
        <v>0</v>
      </c>
      <c r="V554">
        <v>1</v>
      </c>
      <c r="W554">
        <v>1414</v>
      </c>
    </row>
    <row r="555" spans="1:23" x14ac:dyDescent="0.25">
      <c r="H555" t="s">
        <v>76</v>
      </c>
    </row>
    <row r="556" spans="1:23" x14ac:dyDescent="0.25">
      <c r="A556">
        <v>275</v>
      </c>
      <c r="B556">
        <v>1725</v>
      </c>
      <c r="C556" t="s">
        <v>903</v>
      </c>
      <c r="D556" t="s">
        <v>39</v>
      </c>
      <c r="E556" t="s">
        <v>21</v>
      </c>
      <c r="F556" t="s">
        <v>904</v>
      </c>
      <c r="G556" t="str">
        <f>"00214967"</f>
        <v>00214967</v>
      </c>
      <c r="H556">
        <v>726</v>
      </c>
      <c r="I556">
        <v>0</v>
      </c>
      <c r="J556">
        <v>70</v>
      </c>
      <c r="K556">
        <v>30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84</v>
      </c>
      <c r="S556">
        <v>588</v>
      </c>
      <c r="T556">
        <v>0</v>
      </c>
      <c r="V556">
        <v>0</v>
      </c>
      <c r="W556">
        <v>1414</v>
      </c>
    </row>
    <row r="557" spans="1:23" x14ac:dyDescent="0.25">
      <c r="H557">
        <v>400</v>
      </c>
    </row>
    <row r="558" spans="1:23" x14ac:dyDescent="0.25">
      <c r="A558">
        <v>276</v>
      </c>
      <c r="B558">
        <v>411</v>
      </c>
      <c r="C558" t="s">
        <v>905</v>
      </c>
      <c r="D558" t="s">
        <v>906</v>
      </c>
      <c r="E558" t="s">
        <v>59</v>
      </c>
      <c r="F558" t="s">
        <v>907</v>
      </c>
      <c r="G558" t="str">
        <f>"00162567"</f>
        <v>00162567</v>
      </c>
      <c r="H558">
        <v>902</v>
      </c>
      <c r="I558">
        <v>0</v>
      </c>
      <c r="J558">
        <v>70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63</v>
      </c>
      <c r="S558">
        <v>441</v>
      </c>
      <c r="T558">
        <v>0</v>
      </c>
      <c r="V558">
        <v>0</v>
      </c>
      <c r="W558">
        <v>1413</v>
      </c>
    </row>
    <row r="559" spans="1:23" x14ac:dyDescent="0.25">
      <c r="H559">
        <v>400</v>
      </c>
    </row>
    <row r="560" spans="1:23" x14ac:dyDescent="0.25">
      <c r="A560">
        <v>277</v>
      </c>
      <c r="B560">
        <v>1023</v>
      </c>
      <c r="C560" t="s">
        <v>908</v>
      </c>
      <c r="D560" t="s">
        <v>157</v>
      </c>
      <c r="E560" t="s">
        <v>209</v>
      </c>
      <c r="F560" t="s">
        <v>909</v>
      </c>
      <c r="G560" t="str">
        <f>"200906000535"</f>
        <v>200906000535</v>
      </c>
      <c r="H560" t="s">
        <v>114</v>
      </c>
      <c r="I560">
        <v>0</v>
      </c>
      <c r="J560">
        <v>30</v>
      </c>
      <c r="K560">
        <v>70</v>
      </c>
      <c r="L560">
        <v>30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52</v>
      </c>
      <c r="S560">
        <v>364</v>
      </c>
      <c r="T560">
        <v>0</v>
      </c>
      <c r="V560">
        <v>0</v>
      </c>
      <c r="W560" t="s">
        <v>910</v>
      </c>
    </row>
    <row r="561" spans="1:23" x14ac:dyDescent="0.25">
      <c r="H561">
        <v>400</v>
      </c>
    </row>
    <row r="562" spans="1:23" x14ac:dyDescent="0.25">
      <c r="A562">
        <v>278</v>
      </c>
      <c r="B562">
        <v>1395</v>
      </c>
      <c r="C562" t="s">
        <v>911</v>
      </c>
      <c r="D562" t="s">
        <v>157</v>
      </c>
      <c r="E562" t="s">
        <v>27</v>
      </c>
      <c r="F562" t="s">
        <v>912</v>
      </c>
      <c r="G562" t="str">
        <f>"00198964"</f>
        <v>00198964</v>
      </c>
      <c r="H562">
        <v>1034</v>
      </c>
      <c r="I562">
        <v>150</v>
      </c>
      <c r="J562">
        <v>30</v>
      </c>
      <c r="K562">
        <v>0</v>
      </c>
      <c r="L562">
        <v>30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24</v>
      </c>
      <c r="S562">
        <v>168</v>
      </c>
      <c r="T562">
        <v>0</v>
      </c>
      <c r="V562">
        <v>0</v>
      </c>
      <c r="W562">
        <v>1412</v>
      </c>
    </row>
    <row r="563" spans="1:23" x14ac:dyDescent="0.25">
      <c r="H563">
        <v>400</v>
      </c>
    </row>
    <row r="564" spans="1:23" x14ac:dyDescent="0.25">
      <c r="A564">
        <v>279</v>
      </c>
      <c r="B564">
        <v>1008</v>
      </c>
      <c r="C564" t="s">
        <v>913</v>
      </c>
      <c r="D564" t="s">
        <v>558</v>
      </c>
      <c r="E564" t="s">
        <v>914</v>
      </c>
      <c r="F564" t="s">
        <v>915</v>
      </c>
      <c r="G564" t="str">
        <f>"00142733"</f>
        <v>00142733</v>
      </c>
      <c r="H564" t="s">
        <v>861</v>
      </c>
      <c r="I564">
        <v>0</v>
      </c>
      <c r="J564">
        <v>70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84</v>
      </c>
      <c r="S564">
        <v>588</v>
      </c>
      <c r="T564">
        <v>0</v>
      </c>
      <c r="V564">
        <v>0</v>
      </c>
      <c r="W564" t="s">
        <v>916</v>
      </c>
    </row>
    <row r="565" spans="1:23" x14ac:dyDescent="0.25">
      <c r="H565" t="s">
        <v>76</v>
      </c>
    </row>
    <row r="566" spans="1:23" x14ac:dyDescent="0.25">
      <c r="A566">
        <v>280</v>
      </c>
      <c r="B566">
        <v>490</v>
      </c>
      <c r="C566" t="s">
        <v>917</v>
      </c>
      <c r="D566" t="s">
        <v>918</v>
      </c>
      <c r="E566" t="s">
        <v>263</v>
      </c>
      <c r="F566" t="s">
        <v>919</v>
      </c>
      <c r="G566" t="str">
        <f>"201406001911"</f>
        <v>201406001911</v>
      </c>
      <c r="H566" t="s">
        <v>920</v>
      </c>
      <c r="I566">
        <v>0</v>
      </c>
      <c r="J566">
        <v>30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51</v>
      </c>
      <c r="S566">
        <v>357</v>
      </c>
      <c r="T566">
        <v>0</v>
      </c>
      <c r="V566">
        <v>0</v>
      </c>
      <c r="W566" t="s">
        <v>921</v>
      </c>
    </row>
    <row r="567" spans="1:23" x14ac:dyDescent="0.25">
      <c r="H567">
        <v>400</v>
      </c>
    </row>
    <row r="568" spans="1:23" x14ac:dyDescent="0.25">
      <c r="A568">
        <v>281</v>
      </c>
      <c r="B568">
        <v>800</v>
      </c>
      <c r="C568" t="s">
        <v>922</v>
      </c>
      <c r="D568" t="s">
        <v>419</v>
      </c>
      <c r="E568" t="s">
        <v>209</v>
      </c>
      <c r="F568" t="s">
        <v>923</v>
      </c>
      <c r="G568" t="str">
        <f>"201511038508"</f>
        <v>201511038508</v>
      </c>
      <c r="H568">
        <v>770</v>
      </c>
      <c r="I568">
        <v>0</v>
      </c>
      <c r="J568">
        <v>50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84</v>
      </c>
      <c r="S568">
        <v>588</v>
      </c>
      <c r="T568">
        <v>0</v>
      </c>
      <c r="V568">
        <v>1</v>
      </c>
      <c r="W568">
        <v>1408</v>
      </c>
    </row>
    <row r="569" spans="1:23" x14ac:dyDescent="0.25">
      <c r="H569">
        <v>400</v>
      </c>
    </row>
    <row r="570" spans="1:23" x14ac:dyDescent="0.25">
      <c r="A570">
        <v>282</v>
      </c>
      <c r="B570">
        <v>1271</v>
      </c>
      <c r="C570" t="s">
        <v>924</v>
      </c>
      <c r="D570" t="s">
        <v>925</v>
      </c>
      <c r="E570" t="s">
        <v>21</v>
      </c>
      <c r="F570" t="s">
        <v>926</v>
      </c>
      <c r="G570" t="str">
        <f>"201410006817"</f>
        <v>201410006817</v>
      </c>
      <c r="H570">
        <v>770</v>
      </c>
      <c r="I570">
        <v>0</v>
      </c>
      <c r="J570">
        <v>50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84</v>
      </c>
      <c r="S570">
        <v>588</v>
      </c>
      <c r="T570">
        <v>0</v>
      </c>
      <c r="V570">
        <v>0</v>
      </c>
      <c r="W570">
        <v>1408</v>
      </c>
    </row>
    <row r="571" spans="1:23" x14ac:dyDescent="0.25">
      <c r="H571" t="s">
        <v>76</v>
      </c>
    </row>
    <row r="572" spans="1:23" x14ac:dyDescent="0.25">
      <c r="A572">
        <v>283</v>
      </c>
      <c r="B572">
        <v>1140</v>
      </c>
      <c r="C572" t="s">
        <v>927</v>
      </c>
      <c r="D572" t="s">
        <v>928</v>
      </c>
      <c r="E572" t="s">
        <v>291</v>
      </c>
      <c r="F572" t="s">
        <v>929</v>
      </c>
      <c r="G572" t="str">
        <f>"00217105"</f>
        <v>00217105</v>
      </c>
      <c r="H572" t="s">
        <v>120</v>
      </c>
      <c r="I572">
        <v>150</v>
      </c>
      <c r="J572">
        <v>70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24</v>
      </c>
      <c r="S572">
        <v>168</v>
      </c>
      <c r="T572">
        <v>0</v>
      </c>
      <c r="V572">
        <v>0</v>
      </c>
      <c r="W572" t="s">
        <v>930</v>
      </c>
    </row>
    <row r="573" spans="1:23" x14ac:dyDescent="0.25">
      <c r="H573">
        <v>400</v>
      </c>
    </row>
    <row r="574" spans="1:23" x14ac:dyDescent="0.25">
      <c r="A574">
        <v>284</v>
      </c>
      <c r="B574">
        <v>432</v>
      </c>
      <c r="C574" t="s">
        <v>931</v>
      </c>
      <c r="D574" t="s">
        <v>932</v>
      </c>
      <c r="E574" t="s">
        <v>828</v>
      </c>
      <c r="F574" t="s">
        <v>933</v>
      </c>
      <c r="G574" t="str">
        <f>"00151670"</f>
        <v>00151670</v>
      </c>
      <c r="H574">
        <v>1023</v>
      </c>
      <c r="I574">
        <v>150</v>
      </c>
      <c r="J574">
        <v>50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26</v>
      </c>
      <c r="S574">
        <v>182</v>
      </c>
      <c r="T574">
        <v>0</v>
      </c>
      <c r="V574">
        <v>0</v>
      </c>
      <c r="W574">
        <v>1405</v>
      </c>
    </row>
    <row r="575" spans="1:23" x14ac:dyDescent="0.25">
      <c r="H575">
        <v>400</v>
      </c>
    </row>
    <row r="576" spans="1:23" x14ac:dyDescent="0.25">
      <c r="A576">
        <v>285</v>
      </c>
      <c r="B576">
        <v>61</v>
      </c>
      <c r="C576" t="s">
        <v>934</v>
      </c>
      <c r="D576" t="s">
        <v>558</v>
      </c>
      <c r="E576" t="s">
        <v>414</v>
      </c>
      <c r="F576" t="s">
        <v>935</v>
      </c>
      <c r="G576" t="str">
        <f>"00215255"</f>
        <v>00215255</v>
      </c>
      <c r="H576" t="s">
        <v>936</v>
      </c>
      <c r="I576">
        <v>150</v>
      </c>
      <c r="J576">
        <v>30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84</v>
      </c>
      <c r="S576">
        <v>588</v>
      </c>
      <c r="T576">
        <v>0</v>
      </c>
      <c r="V576">
        <v>0</v>
      </c>
      <c r="W576" t="s">
        <v>937</v>
      </c>
    </row>
    <row r="577" spans="1:23" x14ac:dyDescent="0.25">
      <c r="H577">
        <v>400</v>
      </c>
    </row>
    <row r="578" spans="1:23" x14ac:dyDescent="0.25">
      <c r="A578">
        <v>286</v>
      </c>
      <c r="B578">
        <v>685</v>
      </c>
      <c r="C578" t="s">
        <v>938</v>
      </c>
      <c r="D578" t="s">
        <v>59</v>
      </c>
      <c r="E578" t="s">
        <v>49</v>
      </c>
      <c r="F578" t="s">
        <v>939</v>
      </c>
      <c r="G578" t="str">
        <f>"00212904"</f>
        <v>00212904</v>
      </c>
      <c r="H578" t="s">
        <v>23</v>
      </c>
      <c r="I578">
        <v>0</v>
      </c>
      <c r="J578">
        <v>30</v>
      </c>
      <c r="K578">
        <v>0</v>
      </c>
      <c r="L578">
        <v>70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33</v>
      </c>
      <c r="S578">
        <v>231</v>
      </c>
      <c r="T578">
        <v>0</v>
      </c>
      <c r="V578">
        <v>0</v>
      </c>
      <c r="W578" t="s">
        <v>940</v>
      </c>
    </row>
    <row r="579" spans="1:23" x14ac:dyDescent="0.25">
      <c r="H579" t="s">
        <v>76</v>
      </c>
    </row>
    <row r="580" spans="1:23" x14ac:dyDescent="0.25">
      <c r="A580">
        <v>287</v>
      </c>
      <c r="B580">
        <v>1862</v>
      </c>
      <c r="C580" t="s">
        <v>941</v>
      </c>
      <c r="D580" t="s">
        <v>163</v>
      </c>
      <c r="E580" t="s">
        <v>942</v>
      </c>
      <c r="F580" t="s">
        <v>943</v>
      </c>
      <c r="G580" t="str">
        <f>"201412002129"</f>
        <v>201412002129</v>
      </c>
      <c r="H580" t="s">
        <v>41</v>
      </c>
      <c r="I580">
        <v>150</v>
      </c>
      <c r="J580">
        <v>30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31</v>
      </c>
      <c r="S580">
        <v>217</v>
      </c>
      <c r="T580">
        <v>0</v>
      </c>
      <c r="V580">
        <v>0</v>
      </c>
      <c r="W580" t="s">
        <v>940</v>
      </c>
    </row>
    <row r="581" spans="1:23" x14ac:dyDescent="0.25">
      <c r="H581">
        <v>400</v>
      </c>
    </row>
    <row r="582" spans="1:23" x14ac:dyDescent="0.25">
      <c r="A582">
        <v>288</v>
      </c>
      <c r="B582">
        <v>1146</v>
      </c>
      <c r="C582" t="s">
        <v>944</v>
      </c>
      <c r="D582" t="s">
        <v>177</v>
      </c>
      <c r="E582" t="s">
        <v>21</v>
      </c>
      <c r="F582" t="s">
        <v>945</v>
      </c>
      <c r="G582" t="str">
        <f>"00214444"</f>
        <v>00214444</v>
      </c>
      <c r="H582">
        <v>1045</v>
      </c>
      <c r="I582">
        <v>0</v>
      </c>
      <c r="J582">
        <v>70</v>
      </c>
      <c r="K582">
        <v>50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34</v>
      </c>
      <c r="S582">
        <v>238</v>
      </c>
      <c r="T582">
        <v>0</v>
      </c>
      <c r="V582">
        <v>0</v>
      </c>
      <c r="W582">
        <v>1403</v>
      </c>
    </row>
    <row r="583" spans="1:23" x14ac:dyDescent="0.25">
      <c r="H583">
        <v>400</v>
      </c>
    </row>
    <row r="584" spans="1:23" x14ac:dyDescent="0.25">
      <c r="A584">
        <v>289</v>
      </c>
      <c r="B584">
        <v>1454</v>
      </c>
      <c r="C584" t="s">
        <v>946</v>
      </c>
      <c r="D584" t="s">
        <v>298</v>
      </c>
      <c r="E584" t="s">
        <v>59</v>
      </c>
      <c r="F584" t="s">
        <v>947</v>
      </c>
      <c r="G584" t="str">
        <f>"00215547"</f>
        <v>00215547</v>
      </c>
      <c r="H584" t="s">
        <v>394</v>
      </c>
      <c r="I584">
        <v>0</v>
      </c>
      <c r="J584">
        <v>30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68</v>
      </c>
      <c r="S584">
        <v>476</v>
      </c>
      <c r="T584">
        <v>0</v>
      </c>
      <c r="V584">
        <v>0</v>
      </c>
      <c r="W584" t="s">
        <v>948</v>
      </c>
    </row>
    <row r="585" spans="1:23" x14ac:dyDescent="0.25">
      <c r="H585">
        <v>400</v>
      </c>
    </row>
    <row r="586" spans="1:23" x14ac:dyDescent="0.25">
      <c r="A586">
        <v>290</v>
      </c>
      <c r="B586">
        <v>766</v>
      </c>
      <c r="C586" t="s">
        <v>203</v>
      </c>
      <c r="D586" t="s">
        <v>111</v>
      </c>
      <c r="E586" t="s">
        <v>27</v>
      </c>
      <c r="F586" t="s">
        <v>949</v>
      </c>
      <c r="G586" t="str">
        <f>"00159885"</f>
        <v>00159885</v>
      </c>
      <c r="H586">
        <v>770</v>
      </c>
      <c r="I586">
        <v>0</v>
      </c>
      <c r="J586">
        <v>30</v>
      </c>
      <c r="K586">
        <v>30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81</v>
      </c>
      <c r="S586">
        <v>567</v>
      </c>
      <c r="T586">
        <v>0</v>
      </c>
      <c r="V586">
        <v>0</v>
      </c>
      <c r="W586">
        <v>1397</v>
      </c>
    </row>
    <row r="587" spans="1:23" x14ac:dyDescent="0.25">
      <c r="H587">
        <v>400</v>
      </c>
    </row>
    <row r="588" spans="1:23" x14ac:dyDescent="0.25">
      <c r="A588">
        <v>291</v>
      </c>
      <c r="B588">
        <v>497</v>
      </c>
      <c r="C588" t="s">
        <v>950</v>
      </c>
      <c r="D588" t="s">
        <v>15</v>
      </c>
      <c r="E588" t="s">
        <v>27</v>
      </c>
      <c r="F588" t="s">
        <v>951</v>
      </c>
      <c r="G588" t="str">
        <f>"201511025520"</f>
        <v>201511025520</v>
      </c>
      <c r="H588" t="s">
        <v>952</v>
      </c>
      <c r="I588">
        <v>0</v>
      </c>
      <c r="J588">
        <v>30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84</v>
      </c>
      <c r="S588">
        <v>588</v>
      </c>
      <c r="T588">
        <v>0</v>
      </c>
      <c r="V588">
        <v>1</v>
      </c>
      <c r="W588" t="s">
        <v>953</v>
      </c>
    </row>
    <row r="589" spans="1:23" x14ac:dyDescent="0.25">
      <c r="H589">
        <v>400</v>
      </c>
    </row>
    <row r="590" spans="1:23" x14ac:dyDescent="0.25">
      <c r="A590">
        <v>292</v>
      </c>
      <c r="B590">
        <v>1479</v>
      </c>
      <c r="C590" t="s">
        <v>954</v>
      </c>
      <c r="D590" t="s">
        <v>27</v>
      </c>
      <c r="E590" t="s">
        <v>15</v>
      </c>
      <c r="F590" t="s">
        <v>955</v>
      </c>
      <c r="G590" t="str">
        <f>"201412003595"</f>
        <v>201412003595</v>
      </c>
      <c r="H590">
        <v>990</v>
      </c>
      <c r="I590">
        <v>0</v>
      </c>
      <c r="J590">
        <v>70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48</v>
      </c>
      <c r="S590">
        <v>336</v>
      </c>
      <c r="T590">
        <v>0</v>
      </c>
      <c r="V590">
        <v>0</v>
      </c>
      <c r="W590">
        <v>1396</v>
      </c>
    </row>
    <row r="591" spans="1:23" x14ac:dyDescent="0.25">
      <c r="H591">
        <v>400</v>
      </c>
    </row>
    <row r="592" spans="1:23" x14ac:dyDescent="0.25">
      <c r="A592">
        <v>293</v>
      </c>
      <c r="B592">
        <v>446</v>
      </c>
      <c r="C592" t="s">
        <v>956</v>
      </c>
      <c r="D592" t="s">
        <v>27</v>
      </c>
      <c r="E592" t="s">
        <v>21</v>
      </c>
      <c r="F592" t="s">
        <v>957</v>
      </c>
      <c r="G592" t="str">
        <f>"201510004919"</f>
        <v>201510004919</v>
      </c>
      <c r="H592" t="s">
        <v>394</v>
      </c>
      <c r="I592">
        <v>0</v>
      </c>
      <c r="J592">
        <v>30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67</v>
      </c>
      <c r="S592">
        <v>469</v>
      </c>
      <c r="T592">
        <v>0</v>
      </c>
      <c r="V592">
        <v>1</v>
      </c>
      <c r="W592" t="s">
        <v>958</v>
      </c>
    </row>
    <row r="593" spans="1:23" x14ac:dyDescent="0.25">
      <c r="H593">
        <v>400</v>
      </c>
    </row>
    <row r="594" spans="1:23" x14ac:dyDescent="0.25">
      <c r="A594">
        <v>294</v>
      </c>
      <c r="B594">
        <v>227</v>
      </c>
      <c r="C594" t="s">
        <v>959</v>
      </c>
      <c r="D594" t="s">
        <v>15</v>
      </c>
      <c r="E594" t="s">
        <v>59</v>
      </c>
      <c r="F594" t="s">
        <v>960</v>
      </c>
      <c r="G594" t="str">
        <f>"201301000087"</f>
        <v>201301000087</v>
      </c>
      <c r="H594">
        <v>1001</v>
      </c>
      <c r="I594">
        <v>0</v>
      </c>
      <c r="J594">
        <v>30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52</v>
      </c>
      <c r="S594">
        <v>364</v>
      </c>
      <c r="T594">
        <v>0</v>
      </c>
      <c r="V594">
        <v>0</v>
      </c>
      <c r="W594">
        <v>1395</v>
      </c>
    </row>
    <row r="595" spans="1:23" x14ac:dyDescent="0.25">
      <c r="H595" t="s">
        <v>76</v>
      </c>
    </row>
    <row r="596" spans="1:23" x14ac:dyDescent="0.25">
      <c r="A596">
        <v>295</v>
      </c>
      <c r="B596">
        <v>1001</v>
      </c>
      <c r="C596" t="s">
        <v>961</v>
      </c>
      <c r="D596" t="s">
        <v>59</v>
      </c>
      <c r="E596" t="s">
        <v>82</v>
      </c>
      <c r="F596" t="s">
        <v>962</v>
      </c>
      <c r="G596" t="str">
        <f>"00140434"</f>
        <v>00140434</v>
      </c>
      <c r="H596">
        <v>737</v>
      </c>
      <c r="I596">
        <v>0</v>
      </c>
      <c r="J596">
        <v>70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84</v>
      </c>
      <c r="S596">
        <v>588</v>
      </c>
      <c r="T596">
        <v>0</v>
      </c>
      <c r="V596">
        <v>0</v>
      </c>
      <c r="W596">
        <v>1395</v>
      </c>
    </row>
    <row r="597" spans="1:23" x14ac:dyDescent="0.25">
      <c r="H597" t="s">
        <v>76</v>
      </c>
    </row>
    <row r="598" spans="1:23" x14ac:dyDescent="0.25">
      <c r="A598">
        <v>296</v>
      </c>
      <c r="B598">
        <v>67</v>
      </c>
      <c r="C598" t="s">
        <v>963</v>
      </c>
      <c r="D598" t="s">
        <v>511</v>
      </c>
      <c r="E598" t="s">
        <v>27</v>
      </c>
      <c r="F598" t="s">
        <v>964</v>
      </c>
      <c r="G598" t="str">
        <f>"201402009294"</f>
        <v>201402009294</v>
      </c>
      <c r="H598">
        <v>968</v>
      </c>
      <c r="I598">
        <v>0</v>
      </c>
      <c r="J598">
        <v>70</v>
      </c>
      <c r="K598">
        <v>0</v>
      </c>
      <c r="L598">
        <v>30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46</v>
      </c>
      <c r="S598">
        <v>322</v>
      </c>
      <c r="T598">
        <v>0</v>
      </c>
      <c r="V598">
        <v>0</v>
      </c>
      <c r="W598">
        <v>1390</v>
      </c>
    </row>
    <row r="599" spans="1:23" x14ac:dyDescent="0.25">
      <c r="H599">
        <v>400</v>
      </c>
    </row>
    <row r="600" spans="1:23" x14ac:dyDescent="0.25">
      <c r="A600">
        <v>297</v>
      </c>
      <c r="B600">
        <v>28</v>
      </c>
      <c r="C600" t="s">
        <v>965</v>
      </c>
      <c r="D600" t="s">
        <v>111</v>
      </c>
      <c r="E600" t="s">
        <v>408</v>
      </c>
      <c r="F600" t="s">
        <v>966</v>
      </c>
      <c r="G600" t="str">
        <f>"00148012"</f>
        <v>00148012</v>
      </c>
      <c r="H600">
        <v>770</v>
      </c>
      <c r="I600">
        <v>0</v>
      </c>
      <c r="J600">
        <v>30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84</v>
      </c>
      <c r="S600">
        <v>588</v>
      </c>
      <c r="T600">
        <v>0</v>
      </c>
      <c r="V600">
        <v>2</v>
      </c>
      <c r="W600">
        <v>1388</v>
      </c>
    </row>
    <row r="601" spans="1:23" x14ac:dyDescent="0.25">
      <c r="H601">
        <v>400</v>
      </c>
    </row>
    <row r="602" spans="1:23" x14ac:dyDescent="0.25">
      <c r="A602">
        <v>298</v>
      </c>
      <c r="B602">
        <v>1318</v>
      </c>
      <c r="C602" t="s">
        <v>967</v>
      </c>
      <c r="D602" t="s">
        <v>177</v>
      </c>
      <c r="E602" t="s">
        <v>82</v>
      </c>
      <c r="F602" t="s">
        <v>968</v>
      </c>
      <c r="G602" t="str">
        <f>"00008182"</f>
        <v>00008182</v>
      </c>
      <c r="H602">
        <v>770</v>
      </c>
      <c r="I602">
        <v>0</v>
      </c>
      <c r="J602">
        <v>30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84</v>
      </c>
      <c r="S602">
        <v>588</v>
      </c>
      <c r="T602">
        <v>0</v>
      </c>
      <c r="V602">
        <v>0</v>
      </c>
      <c r="W602">
        <v>1388</v>
      </c>
    </row>
    <row r="603" spans="1:23" x14ac:dyDescent="0.25">
      <c r="H603">
        <v>400</v>
      </c>
    </row>
    <row r="604" spans="1:23" x14ac:dyDescent="0.25">
      <c r="A604">
        <v>299</v>
      </c>
      <c r="B604">
        <v>593</v>
      </c>
      <c r="C604" t="s">
        <v>969</v>
      </c>
      <c r="D604" t="s">
        <v>71</v>
      </c>
      <c r="E604" t="s">
        <v>241</v>
      </c>
      <c r="F604" t="s">
        <v>970</v>
      </c>
      <c r="G604" t="str">
        <f>"200802005760"</f>
        <v>200802005760</v>
      </c>
      <c r="H604">
        <v>770</v>
      </c>
      <c r="I604">
        <v>0</v>
      </c>
      <c r="J604">
        <v>30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84</v>
      </c>
      <c r="S604">
        <v>588</v>
      </c>
      <c r="T604">
        <v>0</v>
      </c>
      <c r="V604">
        <v>0</v>
      </c>
      <c r="W604">
        <v>1388</v>
      </c>
    </row>
    <row r="605" spans="1:23" x14ac:dyDescent="0.25">
      <c r="H605">
        <v>400</v>
      </c>
    </row>
    <row r="606" spans="1:23" x14ac:dyDescent="0.25">
      <c r="A606">
        <v>300</v>
      </c>
      <c r="B606">
        <v>796</v>
      </c>
      <c r="C606" t="s">
        <v>971</v>
      </c>
      <c r="D606" t="s">
        <v>343</v>
      </c>
      <c r="E606" t="s">
        <v>59</v>
      </c>
      <c r="F606" t="s">
        <v>972</v>
      </c>
      <c r="G606" t="str">
        <f>"201504003433"</f>
        <v>201504003433</v>
      </c>
      <c r="H606">
        <v>946</v>
      </c>
      <c r="I606">
        <v>0</v>
      </c>
      <c r="J606">
        <v>70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53</v>
      </c>
      <c r="S606">
        <v>371</v>
      </c>
      <c r="T606">
        <v>0</v>
      </c>
      <c r="V606">
        <v>0</v>
      </c>
      <c r="W606">
        <v>1387</v>
      </c>
    </row>
    <row r="607" spans="1:23" x14ac:dyDescent="0.25">
      <c r="H607">
        <v>400</v>
      </c>
    </row>
    <row r="608" spans="1:23" x14ac:dyDescent="0.25">
      <c r="A608">
        <v>301</v>
      </c>
      <c r="B608">
        <v>1928</v>
      </c>
      <c r="C608" t="s">
        <v>973</v>
      </c>
      <c r="D608" t="s">
        <v>413</v>
      </c>
      <c r="E608" t="s">
        <v>15</v>
      </c>
      <c r="F608" t="s">
        <v>974</v>
      </c>
      <c r="G608" t="str">
        <f>"00148335"</f>
        <v>00148335</v>
      </c>
      <c r="H608" t="s">
        <v>975</v>
      </c>
      <c r="I608">
        <v>0</v>
      </c>
      <c r="J608">
        <v>50</v>
      </c>
      <c r="K608">
        <v>0</v>
      </c>
      <c r="L608">
        <v>0</v>
      </c>
      <c r="M608">
        <v>30</v>
      </c>
      <c r="N608">
        <v>50</v>
      </c>
      <c r="O608">
        <v>0</v>
      </c>
      <c r="P608">
        <v>0</v>
      </c>
      <c r="Q608">
        <v>0</v>
      </c>
      <c r="R608">
        <v>84</v>
      </c>
      <c r="S608">
        <v>588</v>
      </c>
      <c r="T608">
        <v>0</v>
      </c>
      <c r="V608">
        <v>0</v>
      </c>
      <c r="W608" t="s">
        <v>976</v>
      </c>
    </row>
    <row r="609" spans="1:23" x14ac:dyDescent="0.25">
      <c r="H609">
        <v>400</v>
      </c>
    </row>
    <row r="610" spans="1:23" x14ac:dyDescent="0.25">
      <c r="A610">
        <v>302</v>
      </c>
      <c r="B610">
        <v>378</v>
      </c>
      <c r="C610" t="s">
        <v>977</v>
      </c>
      <c r="D610" t="s">
        <v>71</v>
      </c>
      <c r="E610" t="s">
        <v>209</v>
      </c>
      <c r="F610" t="s">
        <v>978</v>
      </c>
      <c r="G610" t="str">
        <f>"201507000153"</f>
        <v>201507000153</v>
      </c>
      <c r="H610">
        <v>935</v>
      </c>
      <c r="I610">
        <v>0</v>
      </c>
      <c r="J610">
        <v>70</v>
      </c>
      <c r="K610">
        <v>0</v>
      </c>
      <c r="L610">
        <v>30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50</v>
      </c>
      <c r="S610">
        <v>350</v>
      </c>
      <c r="T610">
        <v>0</v>
      </c>
      <c r="V610">
        <v>0</v>
      </c>
      <c r="W610">
        <v>1385</v>
      </c>
    </row>
    <row r="611" spans="1:23" x14ac:dyDescent="0.25">
      <c r="H611">
        <v>400</v>
      </c>
    </row>
    <row r="612" spans="1:23" x14ac:dyDescent="0.25">
      <c r="A612">
        <v>303</v>
      </c>
      <c r="B612">
        <v>320</v>
      </c>
      <c r="C612" t="s">
        <v>979</v>
      </c>
      <c r="D612" t="s">
        <v>534</v>
      </c>
      <c r="E612" t="s">
        <v>71</v>
      </c>
      <c r="F612" t="s">
        <v>980</v>
      </c>
      <c r="G612" t="str">
        <f>"201406015009"</f>
        <v>201406015009</v>
      </c>
      <c r="H612" t="s">
        <v>259</v>
      </c>
      <c r="I612">
        <v>0</v>
      </c>
      <c r="J612">
        <v>50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67</v>
      </c>
      <c r="S612">
        <v>469</v>
      </c>
      <c r="T612">
        <v>0</v>
      </c>
      <c r="V612">
        <v>0</v>
      </c>
      <c r="W612" t="s">
        <v>981</v>
      </c>
    </row>
    <row r="613" spans="1:23" x14ac:dyDescent="0.25">
      <c r="H613">
        <v>400</v>
      </c>
    </row>
    <row r="614" spans="1:23" x14ac:dyDescent="0.25">
      <c r="A614">
        <v>304</v>
      </c>
      <c r="B614">
        <v>8</v>
      </c>
      <c r="C614" t="s">
        <v>982</v>
      </c>
      <c r="D614" t="s">
        <v>552</v>
      </c>
      <c r="E614" t="s">
        <v>50</v>
      </c>
      <c r="F614" t="s">
        <v>983</v>
      </c>
      <c r="G614" t="str">
        <f>"201511042229"</f>
        <v>201511042229</v>
      </c>
      <c r="H614" t="s">
        <v>35</v>
      </c>
      <c r="I614">
        <v>0</v>
      </c>
      <c r="J614">
        <v>30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45</v>
      </c>
      <c r="S614">
        <v>315</v>
      </c>
      <c r="T614">
        <v>0</v>
      </c>
      <c r="V614">
        <v>0</v>
      </c>
      <c r="W614" t="s">
        <v>984</v>
      </c>
    </row>
    <row r="615" spans="1:23" x14ac:dyDescent="0.25">
      <c r="H615">
        <v>400</v>
      </c>
    </row>
    <row r="616" spans="1:23" x14ac:dyDescent="0.25">
      <c r="A616">
        <v>305</v>
      </c>
      <c r="B616">
        <v>1147</v>
      </c>
      <c r="C616" t="s">
        <v>985</v>
      </c>
      <c r="D616" t="s">
        <v>291</v>
      </c>
      <c r="E616" t="s">
        <v>87</v>
      </c>
      <c r="F616" t="s">
        <v>986</v>
      </c>
      <c r="G616" t="str">
        <f>"201406010599"</f>
        <v>201406010599</v>
      </c>
      <c r="H616" t="s">
        <v>987</v>
      </c>
      <c r="I616">
        <v>0</v>
      </c>
      <c r="J616">
        <v>70</v>
      </c>
      <c r="K616">
        <v>0</v>
      </c>
      <c r="L616">
        <v>0</v>
      </c>
      <c r="M616">
        <v>50</v>
      </c>
      <c r="N616">
        <v>0</v>
      </c>
      <c r="O616">
        <v>0</v>
      </c>
      <c r="P616">
        <v>0</v>
      </c>
      <c r="Q616">
        <v>0</v>
      </c>
      <c r="R616">
        <v>45</v>
      </c>
      <c r="S616">
        <v>315</v>
      </c>
      <c r="T616">
        <v>0</v>
      </c>
      <c r="V616">
        <v>0</v>
      </c>
      <c r="W616" t="s">
        <v>988</v>
      </c>
    </row>
    <row r="617" spans="1:23" x14ac:dyDescent="0.25">
      <c r="H617">
        <v>400</v>
      </c>
    </row>
    <row r="618" spans="1:23" x14ac:dyDescent="0.25">
      <c r="A618">
        <v>306</v>
      </c>
      <c r="B618">
        <v>1239</v>
      </c>
      <c r="C618" t="s">
        <v>989</v>
      </c>
      <c r="D618" t="s">
        <v>990</v>
      </c>
      <c r="E618" t="s">
        <v>523</v>
      </c>
      <c r="F618" t="s">
        <v>991</v>
      </c>
      <c r="G618" t="str">
        <f>"00214233"</f>
        <v>00214233</v>
      </c>
      <c r="H618" t="s">
        <v>293</v>
      </c>
      <c r="I618">
        <v>150</v>
      </c>
      <c r="J618">
        <v>70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32</v>
      </c>
      <c r="S618">
        <v>224</v>
      </c>
      <c r="T618">
        <v>0</v>
      </c>
      <c r="V618">
        <v>0</v>
      </c>
      <c r="W618" t="s">
        <v>992</v>
      </c>
    </row>
    <row r="619" spans="1:23" x14ac:dyDescent="0.25">
      <c r="H619">
        <v>400</v>
      </c>
    </row>
    <row r="620" spans="1:23" x14ac:dyDescent="0.25">
      <c r="A620">
        <v>307</v>
      </c>
      <c r="B620">
        <v>492</v>
      </c>
      <c r="C620" t="s">
        <v>993</v>
      </c>
      <c r="D620" t="s">
        <v>914</v>
      </c>
      <c r="E620" t="s">
        <v>21</v>
      </c>
      <c r="F620" t="s">
        <v>994</v>
      </c>
      <c r="G620" t="str">
        <f>"201406000854"</f>
        <v>201406000854</v>
      </c>
      <c r="H620">
        <v>1023</v>
      </c>
      <c r="I620">
        <v>0</v>
      </c>
      <c r="J620">
        <v>70</v>
      </c>
      <c r="K620">
        <v>30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37</v>
      </c>
      <c r="S620">
        <v>259</v>
      </c>
      <c r="T620">
        <v>0</v>
      </c>
      <c r="V620">
        <v>0</v>
      </c>
      <c r="W620">
        <v>1382</v>
      </c>
    </row>
    <row r="621" spans="1:23" x14ac:dyDescent="0.25">
      <c r="H621">
        <v>400</v>
      </c>
    </row>
    <row r="622" spans="1:23" x14ac:dyDescent="0.25">
      <c r="A622">
        <v>308</v>
      </c>
      <c r="B622">
        <v>794</v>
      </c>
      <c r="C622" t="s">
        <v>995</v>
      </c>
      <c r="D622" t="s">
        <v>20</v>
      </c>
      <c r="E622" t="s">
        <v>299</v>
      </c>
      <c r="F622" t="s">
        <v>996</v>
      </c>
      <c r="G622" t="str">
        <f>"00194133"</f>
        <v>00194133</v>
      </c>
      <c r="H622">
        <v>990</v>
      </c>
      <c r="I622">
        <v>0</v>
      </c>
      <c r="J622">
        <v>70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46</v>
      </c>
      <c r="S622">
        <v>322</v>
      </c>
      <c r="T622">
        <v>0</v>
      </c>
      <c r="V622">
        <v>0</v>
      </c>
      <c r="W622">
        <v>1382</v>
      </c>
    </row>
    <row r="623" spans="1:23" x14ac:dyDescent="0.25">
      <c r="H623">
        <v>400</v>
      </c>
    </row>
    <row r="624" spans="1:23" x14ac:dyDescent="0.25">
      <c r="A624">
        <v>309</v>
      </c>
      <c r="B624">
        <v>1413</v>
      </c>
      <c r="C624" t="s">
        <v>997</v>
      </c>
      <c r="D624" t="s">
        <v>39</v>
      </c>
      <c r="E624" t="s">
        <v>15</v>
      </c>
      <c r="F624" t="s">
        <v>998</v>
      </c>
      <c r="G624" t="str">
        <f>"00105522"</f>
        <v>00105522</v>
      </c>
      <c r="H624" t="s">
        <v>472</v>
      </c>
      <c r="I624">
        <v>0</v>
      </c>
      <c r="J624">
        <v>30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68</v>
      </c>
      <c r="S624">
        <v>476</v>
      </c>
      <c r="T624">
        <v>0</v>
      </c>
      <c r="V624">
        <v>0</v>
      </c>
      <c r="W624" t="s">
        <v>999</v>
      </c>
    </row>
    <row r="625" spans="1:23" x14ac:dyDescent="0.25">
      <c r="H625">
        <v>400</v>
      </c>
    </row>
    <row r="626" spans="1:23" x14ac:dyDescent="0.25">
      <c r="A626">
        <v>310</v>
      </c>
      <c r="B626">
        <v>1908</v>
      </c>
      <c r="C626" t="s">
        <v>1000</v>
      </c>
      <c r="D626" t="s">
        <v>125</v>
      </c>
      <c r="E626" t="s">
        <v>158</v>
      </c>
      <c r="F626" t="s">
        <v>1001</v>
      </c>
      <c r="G626" t="str">
        <f>"00216637"</f>
        <v>00216637</v>
      </c>
      <c r="H626">
        <v>792</v>
      </c>
      <c r="I626">
        <v>0</v>
      </c>
      <c r="J626">
        <v>70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74</v>
      </c>
      <c r="S626">
        <v>518</v>
      </c>
      <c r="T626">
        <v>0</v>
      </c>
      <c r="V626">
        <v>0</v>
      </c>
      <c r="W626">
        <v>1380</v>
      </c>
    </row>
    <row r="627" spans="1:23" x14ac:dyDescent="0.25">
      <c r="H627">
        <v>400</v>
      </c>
    </row>
    <row r="628" spans="1:23" x14ac:dyDescent="0.25">
      <c r="A628">
        <v>311</v>
      </c>
      <c r="B628">
        <v>1442</v>
      </c>
      <c r="C628" t="s">
        <v>1002</v>
      </c>
      <c r="D628" t="s">
        <v>209</v>
      </c>
      <c r="E628" t="s">
        <v>15</v>
      </c>
      <c r="F628" t="s">
        <v>1003</v>
      </c>
      <c r="G628" t="str">
        <f>"201410004415"</f>
        <v>201410004415</v>
      </c>
      <c r="H628" t="s">
        <v>1004</v>
      </c>
      <c r="I628">
        <v>0</v>
      </c>
      <c r="J628">
        <v>30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58</v>
      </c>
      <c r="S628">
        <v>406</v>
      </c>
      <c r="T628">
        <v>0</v>
      </c>
      <c r="V628">
        <v>0</v>
      </c>
      <c r="W628" t="s">
        <v>1005</v>
      </c>
    </row>
    <row r="629" spans="1:23" x14ac:dyDescent="0.25">
      <c r="H629">
        <v>400</v>
      </c>
    </row>
    <row r="630" spans="1:23" x14ac:dyDescent="0.25">
      <c r="A630">
        <v>312</v>
      </c>
      <c r="B630">
        <v>1672</v>
      </c>
      <c r="C630" t="s">
        <v>1006</v>
      </c>
      <c r="D630" t="s">
        <v>15</v>
      </c>
      <c r="E630" t="s">
        <v>1007</v>
      </c>
      <c r="F630" t="s">
        <v>1008</v>
      </c>
      <c r="G630" t="str">
        <f>"201410003345"</f>
        <v>201410003345</v>
      </c>
      <c r="H630" t="s">
        <v>249</v>
      </c>
      <c r="I630">
        <v>0</v>
      </c>
      <c r="J630">
        <v>70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51</v>
      </c>
      <c r="S630">
        <v>357</v>
      </c>
      <c r="T630">
        <v>0</v>
      </c>
      <c r="V630">
        <v>0</v>
      </c>
      <c r="W630" t="s">
        <v>1009</v>
      </c>
    </row>
    <row r="631" spans="1:23" x14ac:dyDescent="0.25">
      <c r="H631" t="s">
        <v>76</v>
      </c>
    </row>
    <row r="632" spans="1:23" x14ac:dyDescent="0.25">
      <c r="A632">
        <v>313</v>
      </c>
      <c r="B632">
        <v>268</v>
      </c>
      <c r="C632" t="s">
        <v>1010</v>
      </c>
      <c r="D632" t="s">
        <v>157</v>
      </c>
      <c r="E632" t="s">
        <v>15</v>
      </c>
      <c r="F632" t="s">
        <v>1011</v>
      </c>
      <c r="G632" t="str">
        <f>"00217616"</f>
        <v>00217616</v>
      </c>
      <c r="H632" t="s">
        <v>1012</v>
      </c>
      <c r="I632">
        <v>150</v>
      </c>
      <c r="J632">
        <v>70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55</v>
      </c>
      <c r="S632">
        <v>385</v>
      </c>
      <c r="T632">
        <v>0</v>
      </c>
      <c r="V632">
        <v>0</v>
      </c>
      <c r="W632" t="s">
        <v>1013</v>
      </c>
    </row>
    <row r="633" spans="1:23" x14ac:dyDescent="0.25">
      <c r="H633">
        <v>400</v>
      </c>
    </row>
    <row r="634" spans="1:23" x14ac:dyDescent="0.25">
      <c r="A634">
        <v>314</v>
      </c>
      <c r="B634">
        <v>1870</v>
      </c>
      <c r="C634" t="s">
        <v>1014</v>
      </c>
      <c r="D634" t="s">
        <v>220</v>
      </c>
      <c r="E634" t="s">
        <v>15</v>
      </c>
      <c r="F634" t="s">
        <v>1015</v>
      </c>
      <c r="G634" t="str">
        <f>"201406017490"</f>
        <v>201406017490</v>
      </c>
      <c r="H634">
        <v>759</v>
      </c>
      <c r="I634">
        <v>0</v>
      </c>
      <c r="J634">
        <v>30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84</v>
      </c>
      <c r="S634">
        <v>588</v>
      </c>
      <c r="T634">
        <v>0</v>
      </c>
      <c r="V634">
        <v>0</v>
      </c>
      <c r="W634">
        <v>1377</v>
      </c>
    </row>
    <row r="635" spans="1:23" x14ac:dyDescent="0.25">
      <c r="H635">
        <v>400</v>
      </c>
    </row>
    <row r="636" spans="1:23" x14ac:dyDescent="0.25">
      <c r="A636">
        <v>315</v>
      </c>
      <c r="B636">
        <v>172</v>
      </c>
      <c r="C636" t="s">
        <v>1016</v>
      </c>
      <c r="D636" t="s">
        <v>1017</v>
      </c>
      <c r="E636" t="s">
        <v>1018</v>
      </c>
      <c r="F636" t="s">
        <v>1019</v>
      </c>
      <c r="G636" t="str">
        <f>"00170126"</f>
        <v>00170126</v>
      </c>
      <c r="H636">
        <v>1045</v>
      </c>
      <c r="I636">
        <v>0</v>
      </c>
      <c r="J636">
        <v>30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43</v>
      </c>
      <c r="S636">
        <v>301</v>
      </c>
      <c r="T636">
        <v>0</v>
      </c>
      <c r="V636">
        <v>1</v>
      </c>
      <c r="W636">
        <v>1376</v>
      </c>
    </row>
    <row r="637" spans="1:23" x14ac:dyDescent="0.25">
      <c r="H637">
        <v>400</v>
      </c>
    </row>
    <row r="638" spans="1:23" x14ac:dyDescent="0.25">
      <c r="A638">
        <v>316</v>
      </c>
      <c r="B638">
        <v>1667</v>
      </c>
      <c r="C638" t="s">
        <v>1020</v>
      </c>
      <c r="D638" t="s">
        <v>1021</v>
      </c>
      <c r="E638" t="s">
        <v>209</v>
      </c>
      <c r="F638" t="s">
        <v>1022</v>
      </c>
      <c r="G638" t="str">
        <f>"00008112"</f>
        <v>00008112</v>
      </c>
      <c r="H638">
        <v>935</v>
      </c>
      <c r="I638">
        <v>0</v>
      </c>
      <c r="J638">
        <v>70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53</v>
      </c>
      <c r="S638">
        <v>371</v>
      </c>
      <c r="T638">
        <v>0</v>
      </c>
      <c r="V638">
        <v>0</v>
      </c>
      <c r="W638">
        <v>1376</v>
      </c>
    </row>
    <row r="639" spans="1:23" x14ac:dyDescent="0.25">
      <c r="H639">
        <v>400</v>
      </c>
    </row>
    <row r="640" spans="1:23" x14ac:dyDescent="0.25">
      <c r="A640">
        <v>317</v>
      </c>
      <c r="B640">
        <v>208</v>
      </c>
      <c r="C640" t="s">
        <v>1023</v>
      </c>
      <c r="D640" t="s">
        <v>125</v>
      </c>
      <c r="E640" t="s">
        <v>163</v>
      </c>
      <c r="F640" t="s">
        <v>1024</v>
      </c>
      <c r="G640" t="str">
        <f>"00094672"</f>
        <v>00094672</v>
      </c>
      <c r="H640">
        <v>737</v>
      </c>
      <c r="I640">
        <v>0</v>
      </c>
      <c r="J640">
        <v>50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84</v>
      </c>
      <c r="S640">
        <v>588</v>
      </c>
      <c r="T640">
        <v>0</v>
      </c>
      <c r="V640">
        <v>1</v>
      </c>
      <c r="W640">
        <v>1375</v>
      </c>
    </row>
    <row r="641" spans="1:23" x14ac:dyDescent="0.25">
      <c r="H641">
        <v>400</v>
      </c>
    </row>
    <row r="642" spans="1:23" x14ac:dyDescent="0.25">
      <c r="A642">
        <v>318</v>
      </c>
      <c r="B642">
        <v>608</v>
      </c>
      <c r="C642" t="s">
        <v>1025</v>
      </c>
      <c r="D642" t="s">
        <v>177</v>
      </c>
      <c r="E642" t="s">
        <v>163</v>
      </c>
      <c r="F642" t="s">
        <v>1026</v>
      </c>
      <c r="G642" t="str">
        <f>"00215926"</f>
        <v>00215926</v>
      </c>
      <c r="H642" t="s">
        <v>394</v>
      </c>
      <c r="I642">
        <v>0</v>
      </c>
      <c r="J642">
        <v>50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61</v>
      </c>
      <c r="S642">
        <v>427</v>
      </c>
      <c r="T642">
        <v>0</v>
      </c>
      <c r="V642">
        <v>0</v>
      </c>
      <c r="W642" t="s">
        <v>1027</v>
      </c>
    </row>
    <row r="643" spans="1:23" x14ac:dyDescent="0.25">
      <c r="H643">
        <v>400</v>
      </c>
    </row>
    <row r="644" spans="1:23" x14ac:dyDescent="0.25">
      <c r="A644">
        <v>319</v>
      </c>
      <c r="B644">
        <v>1391</v>
      </c>
      <c r="C644" t="s">
        <v>1028</v>
      </c>
      <c r="D644" t="s">
        <v>74</v>
      </c>
      <c r="E644" t="s">
        <v>63</v>
      </c>
      <c r="F644" t="s">
        <v>1029</v>
      </c>
      <c r="G644" t="str">
        <f>"00217628"</f>
        <v>00217628</v>
      </c>
      <c r="H644" t="s">
        <v>218</v>
      </c>
      <c r="I644">
        <v>0</v>
      </c>
      <c r="J644">
        <v>70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66</v>
      </c>
      <c r="S644">
        <v>462</v>
      </c>
      <c r="T644">
        <v>0</v>
      </c>
      <c r="V644">
        <v>0</v>
      </c>
      <c r="W644" t="s">
        <v>1027</v>
      </c>
    </row>
    <row r="645" spans="1:23" x14ac:dyDescent="0.25">
      <c r="H645">
        <v>400</v>
      </c>
    </row>
    <row r="646" spans="1:23" x14ac:dyDescent="0.25">
      <c r="A646">
        <v>320</v>
      </c>
      <c r="B646">
        <v>1566</v>
      </c>
      <c r="C646" t="s">
        <v>1030</v>
      </c>
      <c r="D646" t="s">
        <v>125</v>
      </c>
      <c r="E646" t="s">
        <v>1031</v>
      </c>
      <c r="F646" t="s">
        <v>1032</v>
      </c>
      <c r="G646" t="str">
        <f>"201511031387"</f>
        <v>201511031387</v>
      </c>
      <c r="H646">
        <v>715</v>
      </c>
      <c r="I646">
        <v>0</v>
      </c>
      <c r="J646">
        <v>70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84</v>
      </c>
      <c r="S646">
        <v>588</v>
      </c>
      <c r="T646">
        <v>0</v>
      </c>
      <c r="V646">
        <v>0</v>
      </c>
      <c r="W646">
        <v>1373</v>
      </c>
    </row>
    <row r="647" spans="1:23" x14ac:dyDescent="0.25">
      <c r="H647" t="s">
        <v>855</v>
      </c>
    </row>
    <row r="648" spans="1:23" x14ac:dyDescent="0.25">
      <c r="A648">
        <v>321</v>
      </c>
      <c r="B648">
        <v>385</v>
      </c>
      <c r="C648" t="s">
        <v>1033</v>
      </c>
      <c r="D648" t="s">
        <v>1034</v>
      </c>
      <c r="E648" t="s">
        <v>150</v>
      </c>
      <c r="F648" t="s">
        <v>1035</v>
      </c>
      <c r="G648" t="str">
        <f>"00014788"</f>
        <v>00014788</v>
      </c>
      <c r="H648" t="s">
        <v>394</v>
      </c>
      <c r="I648">
        <v>0</v>
      </c>
      <c r="J648">
        <v>70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58</v>
      </c>
      <c r="S648">
        <v>406</v>
      </c>
      <c r="T648">
        <v>0</v>
      </c>
      <c r="V648">
        <v>0</v>
      </c>
      <c r="W648" t="s">
        <v>1036</v>
      </c>
    </row>
    <row r="649" spans="1:23" x14ac:dyDescent="0.25">
      <c r="H649">
        <v>400</v>
      </c>
    </row>
    <row r="650" spans="1:23" x14ac:dyDescent="0.25">
      <c r="A650">
        <v>322</v>
      </c>
      <c r="B650">
        <v>441</v>
      </c>
      <c r="C650" t="s">
        <v>1037</v>
      </c>
      <c r="D650" t="s">
        <v>125</v>
      </c>
      <c r="E650" t="s">
        <v>1038</v>
      </c>
      <c r="F650" t="s">
        <v>1039</v>
      </c>
      <c r="G650" t="str">
        <f>"201406011989"</f>
        <v>201406011989</v>
      </c>
      <c r="H650" t="s">
        <v>603</v>
      </c>
      <c r="I650">
        <v>0</v>
      </c>
      <c r="J650">
        <v>30</v>
      </c>
      <c r="K650">
        <v>0</v>
      </c>
      <c r="L650">
        <v>0</v>
      </c>
      <c r="M650">
        <v>0</v>
      </c>
      <c r="N650">
        <v>0</v>
      </c>
      <c r="O650">
        <v>70</v>
      </c>
      <c r="P650">
        <v>0</v>
      </c>
      <c r="Q650">
        <v>0</v>
      </c>
      <c r="R650">
        <v>60</v>
      </c>
      <c r="S650">
        <v>420</v>
      </c>
      <c r="T650">
        <v>0</v>
      </c>
      <c r="V650">
        <v>0</v>
      </c>
      <c r="W650" t="s">
        <v>1036</v>
      </c>
    </row>
    <row r="651" spans="1:23" x14ac:dyDescent="0.25">
      <c r="H651">
        <v>400</v>
      </c>
    </row>
    <row r="652" spans="1:23" x14ac:dyDescent="0.25">
      <c r="A652">
        <v>323</v>
      </c>
      <c r="B652">
        <v>793</v>
      </c>
      <c r="C652" t="s">
        <v>1040</v>
      </c>
      <c r="D652" t="s">
        <v>288</v>
      </c>
      <c r="E652" t="s">
        <v>15</v>
      </c>
      <c r="F652" t="s">
        <v>1041</v>
      </c>
      <c r="G652" t="str">
        <f>"201406015682"</f>
        <v>201406015682</v>
      </c>
      <c r="H652" t="s">
        <v>861</v>
      </c>
      <c r="I652">
        <v>0</v>
      </c>
      <c r="J652">
        <v>30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84</v>
      </c>
      <c r="S652">
        <v>588</v>
      </c>
      <c r="T652">
        <v>0</v>
      </c>
      <c r="V652">
        <v>0</v>
      </c>
      <c r="W652" t="s">
        <v>1042</v>
      </c>
    </row>
    <row r="653" spans="1:23" x14ac:dyDescent="0.25">
      <c r="H653">
        <v>400</v>
      </c>
    </row>
    <row r="654" spans="1:23" x14ac:dyDescent="0.25">
      <c r="A654">
        <v>324</v>
      </c>
      <c r="B654">
        <v>1145</v>
      </c>
      <c r="C654" t="s">
        <v>1043</v>
      </c>
      <c r="D654" t="s">
        <v>1044</v>
      </c>
      <c r="E654" t="s">
        <v>1045</v>
      </c>
      <c r="F654" t="s">
        <v>1046</v>
      </c>
      <c r="G654" t="str">
        <f>"00167808"</f>
        <v>00167808</v>
      </c>
      <c r="H654">
        <v>869</v>
      </c>
      <c r="I654">
        <v>150</v>
      </c>
      <c r="J654">
        <v>30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46</v>
      </c>
      <c r="S654">
        <v>322</v>
      </c>
      <c r="T654">
        <v>0</v>
      </c>
      <c r="V654">
        <v>0</v>
      </c>
      <c r="W654">
        <v>1371</v>
      </c>
    </row>
    <row r="655" spans="1:23" x14ac:dyDescent="0.25">
      <c r="H655">
        <v>400</v>
      </c>
    </row>
    <row r="656" spans="1:23" x14ac:dyDescent="0.25">
      <c r="A656">
        <v>325</v>
      </c>
      <c r="B656">
        <v>892</v>
      </c>
      <c r="C656" t="s">
        <v>1047</v>
      </c>
      <c r="D656" t="s">
        <v>634</v>
      </c>
      <c r="E656" t="s">
        <v>163</v>
      </c>
      <c r="F656" t="s">
        <v>1048</v>
      </c>
      <c r="G656" t="str">
        <f>"00217947"</f>
        <v>00217947</v>
      </c>
      <c r="H656" t="s">
        <v>861</v>
      </c>
      <c r="I656">
        <v>0</v>
      </c>
      <c r="J656">
        <v>70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78</v>
      </c>
      <c r="S656">
        <v>546</v>
      </c>
      <c r="T656">
        <v>0</v>
      </c>
      <c r="V656">
        <v>0</v>
      </c>
      <c r="W656" t="s">
        <v>1049</v>
      </c>
    </row>
    <row r="657" spans="1:23" x14ac:dyDescent="0.25">
      <c r="H657">
        <v>400</v>
      </c>
    </row>
    <row r="658" spans="1:23" x14ac:dyDescent="0.25">
      <c r="A658">
        <v>326</v>
      </c>
      <c r="B658">
        <v>1559</v>
      </c>
      <c r="C658" t="s">
        <v>1050</v>
      </c>
      <c r="D658" t="s">
        <v>1051</v>
      </c>
      <c r="E658" t="s">
        <v>263</v>
      </c>
      <c r="F658" t="s">
        <v>1052</v>
      </c>
      <c r="G658" t="str">
        <f>"201406018833"</f>
        <v>201406018833</v>
      </c>
      <c r="H658" t="s">
        <v>394</v>
      </c>
      <c r="I658">
        <v>0</v>
      </c>
      <c r="J658">
        <v>70</v>
      </c>
      <c r="K658">
        <v>30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53</v>
      </c>
      <c r="S658">
        <v>371</v>
      </c>
      <c r="T658">
        <v>0</v>
      </c>
      <c r="V658">
        <v>0</v>
      </c>
      <c r="W658" t="s">
        <v>1053</v>
      </c>
    </row>
    <row r="659" spans="1:23" x14ac:dyDescent="0.25">
      <c r="H659">
        <v>400</v>
      </c>
    </row>
    <row r="660" spans="1:23" x14ac:dyDescent="0.25">
      <c r="A660">
        <v>327</v>
      </c>
      <c r="B660">
        <v>1153</v>
      </c>
      <c r="C660" t="s">
        <v>1054</v>
      </c>
      <c r="D660" t="s">
        <v>1055</v>
      </c>
      <c r="E660" t="s">
        <v>49</v>
      </c>
      <c r="F660" t="s">
        <v>1056</v>
      </c>
      <c r="G660" t="str">
        <f>"201005000057"</f>
        <v>201005000057</v>
      </c>
      <c r="H660" t="s">
        <v>114</v>
      </c>
      <c r="I660">
        <v>0</v>
      </c>
      <c r="J660">
        <v>70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54</v>
      </c>
      <c r="S660">
        <v>378</v>
      </c>
      <c r="T660">
        <v>0</v>
      </c>
      <c r="V660">
        <v>0</v>
      </c>
      <c r="W660" t="s">
        <v>1057</v>
      </c>
    </row>
    <row r="661" spans="1:23" x14ac:dyDescent="0.25">
      <c r="H661">
        <v>400</v>
      </c>
    </row>
    <row r="662" spans="1:23" x14ac:dyDescent="0.25">
      <c r="A662">
        <v>328</v>
      </c>
      <c r="B662">
        <v>1066</v>
      </c>
      <c r="C662" t="s">
        <v>1058</v>
      </c>
      <c r="D662" t="s">
        <v>534</v>
      </c>
      <c r="E662" t="s">
        <v>209</v>
      </c>
      <c r="F662" t="s">
        <v>1059</v>
      </c>
      <c r="G662" t="str">
        <f>"201406008984"</f>
        <v>201406008984</v>
      </c>
      <c r="H662">
        <v>979</v>
      </c>
      <c r="I662">
        <v>0</v>
      </c>
      <c r="J662">
        <v>70</v>
      </c>
      <c r="K662">
        <v>50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38</v>
      </c>
      <c r="S662">
        <v>266</v>
      </c>
      <c r="T662">
        <v>0</v>
      </c>
      <c r="V662">
        <v>0</v>
      </c>
      <c r="W662">
        <v>1365</v>
      </c>
    </row>
    <row r="663" spans="1:23" x14ac:dyDescent="0.25">
      <c r="H663">
        <v>400</v>
      </c>
    </row>
    <row r="664" spans="1:23" x14ac:dyDescent="0.25">
      <c r="A664">
        <v>329</v>
      </c>
      <c r="B664">
        <v>1900</v>
      </c>
      <c r="C664" t="s">
        <v>1060</v>
      </c>
      <c r="D664" t="s">
        <v>476</v>
      </c>
      <c r="E664" t="s">
        <v>21</v>
      </c>
      <c r="F664" t="s">
        <v>1061</v>
      </c>
      <c r="G664" t="str">
        <f>"201504001779"</f>
        <v>201504001779</v>
      </c>
      <c r="H664">
        <v>1012</v>
      </c>
      <c r="I664">
        <v>0</v>
      </c>
      <c r="J664">
        <v>70</v>
      </c>
      <c r="K664">
        <v>30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36</v>
      </c>
      <c r="S664">
        <v>252</v>
      </c>
      <c r="T664">
        <v>0</v>
      </c>
      <c r="V664">
        <v>0</v>
      </c>
      <c r="W664">
        <v>1364</v>
      </c>
    </row>
    <row r="665" spans="1:23" x14ac:dyDescent="0.25">
      <c r="H665">
        <v>400</v>
      </c>
    </row>
    <row r="666" spans="1:23" x14ac:dyDescent="0.25">
      <c r="A666">
        <v>330</v>
      </c>
      <c r="B666">
        <v>379</v>
      </c>
      <c r="C666" t="s">
        <v>1062</v>
      </c>
      <c r="D666" t="s">
        <v>1063</v>
      </c>
      <c r="E666" t="s">
        <v>1064</v>
      </c>
      <c r="F666" t="s">
        <v>1065</v>
      </c>
      <c r="G666" t="str">
        <f>"00216624"</f>
        <v>00216624</v>
      </c>
      <c r="H666" t="s">
        <v>307</v>
      </c>
      <c r="I666">
        <v>150</v>
      </c>
      <c r="J666">
        <v>30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52</v>
      </c>
      <c r="S666">
        <v>364</v>
      </c>
      <c r="T666">
        <v>0</v>
      </c>
      <c r="V666">
        <v>0</v>
      </c>
      <c r="W666" t="s">
        <v>1066</v>
      </c>
    </row>
    <row r="667" spans="1:23" x14ac:dyDescent="0.25">
      <c r="H667">
        <v>400</v>
      </c>
    </row>
    <row r="668" spans="1:23" x14ac:dyDescent="0.25">
      <c r="A668">
        <v>331</v>
      </c>
      <c r="B668">
        <v>552</v>
      </c>
      <c r="C668" t="s">
        <v>1067</v>
      </c>
      <c r="D668" t="s">
        <v>1068</v>
      </c>
      <c r="E668" t="s">
        <v>150</v>
      </c>
      <c r="F668" t="s">
        <v>1069</v>
      </c>
      <c r="G668" t="str">
        <f>"00216483"</f>
        <v>00216483</v>
      </c>
      <c r="H668" t="s">
        <v>356</v>
      </c>
      <c r="I668">
        <v>0</v>
      </c>
      <c r="J668">
        <v>30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78</v>
      </c>
      <c r="S668">
        <v>546</v>
      </c>
      <c r="T668">
        <v>0</v>
      </c>
      <c r="V668">
        <v>0</v>
      </c>
      <c r="W668" t="s">
        <v>1070</v>
      </c>
    </row>
    <row r="669" spans="1:23" x14ac:dyDescent="0.25">
      <c r="H669">
        <v>400</v>
      </c>
    </row>
    <row r="670" spans="1:23" x14ac:dyDescent="0.25">
      <c r="A670">
        <v>332</v>
      </c>
      <c r="B670">
        <v>1065</v>
      </c>
      <c r="C670" t="s">
        <v>1071</v>
      </c>
      <c r="D670" t="s">
        <v>209</v>
      </c>
      <c r="E670" t="s">
        <v>15</v>
      </c>
      <c r="F670" t="s">
        <v>1072</v>
      </c>
      <c r="G670" t="str">
        <f>"200712002083"</f>
        <v>200712002083</v>
      </c>
      <c r="H670">
        <v>1012</v>
      </c>
      <c r="I670">
        <v>0</v>
      </c>
      <c r="J670">
        <v>70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40</v>
      </c>
      <c r="S670">
        <v>280</v>
      </c>
      <c r="T670">
        <v>0</v>
      </c>
      <c r="V670">
        <v>0</v>
      </c>
      <c r="W670">
        <v>1362</v>
      </c>
    </row>
    <row r="671" spans="1:23" x14ac:dyDescent="0.25">
      <c r="H671">
        <v>400</v>
      </c>
    </row>
    <row r="672" spans="1:23" x14ac:dyDescent="0.25">
      <c r="A672">
        <v>333</v>
      </c>
      <c r="B672">
        <v>702</v>
      </c>
      <c r="C672" t="s">
        <v>1073</v>
      </c>
      <c r="D672" t="s">
        <v>163</v>
      </c>
      <c r="E672" t="s">
        <v>476</v>
      </c>
      <c r="F672" t="s">
        <v>1074</v>
      </c>
      <c r="G672" t="str">
        <f>"201304000538"</f>
        <v>201304000538</v>
      </c>
      <c r="H672">
        <v>946</v>
      </c>
      <c r="I672">
        <v>0</v>
      </c>
      <c r="J672">
        <v>30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55</v>
      </c>
      <c r="S672">
        <v>385</v>
      </c>
      <c r="T672">
        <v>0</v>
      </c>
      <c r="V672">
        <v>0</v>
      </c>
      <c r="W672">
        <v>1361</v>
      </c>
    </row>
    <row r="673" spans="1:23" x14ac:dyDescent="0.25">
      <c r="H673">
        <v>400</v>
      </c>
    </row>
    <row r="674" spans="1:23" x14ac:dyDescent="0.25">
      <c r="A674">
        <v>334</v>
      </c>
      <c r="B674">
        <v>768</v>
      </c>
      <c r="C674" t="s">
        <v>1075</v>
      </c>
      <c r="D674" t="s">
        <v>1076</v>
      </c>
      <c r="E674" t="s">
        <v>484</v>
      </c>
      <c r="F674" t="s">
        <v>1077</v>
      </c>
      <c r="G674" t="str">
        <f>"00217794"</f>
        <v>00217794</v>
      </c>
      <c r="H674">
        <v>693</v>
      </c>
      <c r="I674">
        <v>0</v>
      </c>
      <c r="J674">
        <v>30</v>
      </c>
      <c r="K674">
        <v>50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84</v>
      </c>
      <c r="S674">
        <v>588</v>
      </c>
      <c r="T674">
        <v>0</v>
      </c>
      <c r="V674">
        <v>0</v>
      </c>
      <c r="W674">
        <v>1361</v>
      </c>
    </row>
    <row r="675" spans="1:23" x14ac:dyDescent="0.25">
      <c r="H675">
        <v>400</v>
      </c>
    </row>
    <row r="676" spans="1:23" x14ac:dyDescent="0.25">
      <c r="A676">
        <v>335</v>
      </c>
      <c r="B676">
        <v>110</v>
      </c>
      <c r="C676" t="s">
        <v>1078</v>
      </c>
      <c r="D676" t="s">
        <v>50</v>
      </c>
      <c r="E676" t="s">
        <v>15</v>
      </c>
      <c r="F676" t="s">
        <v>1079</v>
      </c>
      <c r="G676" t="str">
        <f>"00214671"</f>
        <v>00214671</v>
      </c>
      <c r="H676">
        <v>1001</v>
      </c>
      <c r="I676">
        <v>0</v>
      </c>
      <c r="J676">
        <v>70</v>
      </c>
      <c r="K676">
        <v>50</v>
      </c>
      <c r="L676">
        <v>0</v>
      </c>
      <c r="M676">
        <v>0</v>
      </c>
      <c r="N676">
        <v>0</v>
      </c>
      <c r="O676">
        <v>0</v>
      </c>
      <c r="P676">
        <v>50</v>
      </c>
      <c r="Q676">
        <v>0</v>
      </c>
      <c r="R676">
        <v>27</v>
      </c>
      <c r="S676">
        <v>189</v>
      </c>
      <c r="T676">
        <v>0</v>
      </c>
      <c r="V676">
        <v>0</v>
      </c>
      <c r="W676">
        <v>1360</v>
      </c>
    </row>
    <row r="677" spans="1:23" x14ac:dyDescent="0.25">
      <c r="H677">
        <v>400</v>
      </c>
    </row>
    <row r="678" spans="1:23" x14ac:dyDescent="0.25">
      <c r="A678">
        <v>336</v>
      </c>
      <c r="B678">
        <v>1511</v>
      </c>
      <c r="C678" t="s">
        <v>1080</v>
      </c>
      <c r="D678" t="s">
        <v>1081</v>
      </c>
      <c r="E678" t="s">
        <v>209</v>
      </c>
      <c r="F678" t="s">
        <v>1082</v>
      </c>
      <c r="G678" t="str">
        <f>"201410008192"</f>
        <v>201410008192</v>
      </c>
      <c r="H678">
        <v>935</v>
      </c>
      <c r="I678">
        <v>150</v>
      </c>
      <c r="J678">
        <v>70</v>
      </c>
      <c r="K678">
        <v>30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25</v>
      </c>
      <c r="S678">
        <v>175</v>
      </c>
      <c r="T678">
        <v>0</v>
      </c>
      <c r="V678">
        <v>0</v>
      </c>
      <c r="W678">
        <v>1360</v>
      </c>
    </row>
    <row r="679" spans="1:23" x14ac:dyDescent="0.25">
      <c r="H679">
        <v>400</v>
      </c>
    </row>
    <row r="680" spans="1:23" x14ac:dyDescent="0.25">
      <c r="A680">
        <v>337</v>
      </c>
      <c r="B680">
        <v>657</v>
      </c>
      <c r="C680" t="s">
        <v>873</v>
      </c>
      <c r="D680" t="s">
        <v>343</v>
      </c>
      <c r="E680" t="s">
        <v>942</v>
      </c>
      <c r="F680" t="s">
        <v>1083</v>
      </c>
      <c r="G680" t="str">
        <f>"00146698"</f>
        <v>00146698</v>
      </c>
      <c r="H680">
        <v>1001</v>
      </c>
      <c r="I680">
        <v>150</v>
      </c>
      <c r="J680">
        <v>30</v>
      </c>
      <c r="K680">
        <v>30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21</v>
      </c>
      <c r="S680">
        <v>147</v>
      </c>
      <c r="T680">
        <v>0</v>
      </c>
      <c r="V680">
        <v>0</v>
      </c>
      <c r="W680">
        <v>1358</v>
      </c>
    </row>
    <row r="681" spans="1:23" x14ac:dyDescent="0.25">
      <c r="H681">
        <v>400</v>
      </c>
    </row>
    <row r="682" spans="1:23" x14ac:dyDescent="0.25">
      <c r="A682">
        <v>338</v>
      </c>
      <c r="B682">
        <v>1052</v>
      </c>
      <c r="C682" t="s">
        <v>1084</v>
      </c>
      <c r="D682" t="s">
        <v>180</v>
      </c>
      <c r="E682" t="s">
        <v>138</v>
      </c>
      <c r="F682" t="s">
        <v>1085</v>
      </c>
      <c r="G682" t="str">
        <f>"200905000600"</f>
        <v>200905000600</v>
      </c>
      <c r="H682">
        <v>770</v>
      </c>
      <c r="I682">
        <v>0</v>
      </c>
      <c r="J682">
        <v>70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74</v>
      </c>
      <c r="S682">
        <v>518</v>
      </c>
      <c r="T682">
        <v>0</v>
      </c>
      <c r="V682">
        <v>0</v>
      </c>
      <c r="W682">
        <v>1358</v>
      </c>
    </row>
    <row r="683" spans="1:23" x14ac:dyDescent="0.25">
      <c r="H683">
        <v>400</v>
      </c>
    </row>
    <row r="684" spans="1:23" x14ac:dyDescent="0.25">
      <c r="A684">
        <v>339</v>
      </c>
      <c r="B684">
        <v>1684</v>
      </c>
      <c r="C684" t="s">
        <v>1086</v>
      </c>
      <c r="D684" t="s">
        <v>1087</v>
      </c>
      <c r="E684" t="s">
        <v>229</v>
      </c>
      <c r="F684" t="s">
        <v>1088</v>
      </c>
      <c r="G684" t="str">
        <f>"201511028411"</f>
        <v>201511028411</v>
      </c>
      <c r="H684" t="s">
        <v>108</v>
      </c>
      <c r="I684">
        <v>0</v>
      </c>
      <c r="J684">
        <v>30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44</v>
      </c>
      <c r="S684">
        <v>308</v>
      </c>
      <c r="T684">
        <v>0</v>
      </c>
      <c r="V684">
        <v>0</v>
      </c>
      <c r="W684" t="s">
        <v>1089</v>
      </c>
    </row>
    <row r="685" spans="1:23" x14ac:dyDescent="0.25">
      <c r="H685">
        <v>400</v>
      </c>
    </row>
    <row r="686" spans="1:23" x14ac:dyDescent="0.25">
      <c r="A686">
        <v>340</v>
      </c>
      <c r="B686">
        <v>283</v>
      </c>
      <c r="C686" t="s">
        <v>560</v>
      </c>
      <c r="D686" t="s">
        <v>376</v>
      </c>
      <c r="E686" t="s">
        <v>291</v>
      </c>
      <c r="F686" t="s">
        <v>1090</v>
      </c>
      <c r="G686" t="str">
        <f>"201504005442"</f>
        <v>201504005442</v>
      </c>
      <c r="H686" t="s">
        <v>68</v>
      </c>
      <c r="I686">
        <v>0</v>
      </c>
      <c r="J686">
        <v>70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37</v>
      </c>
      <c r="S686">
        <v>259</v>
      </c>
      <c r="T686">
        <v>0</v>
      </c>
      <c r="V686">
        <v>0</v>
      </c>
      <c r="W686" t="s">
        <v>1091</v>
      </c>
    </row>
    <row r="687" spans="1:23" x14ac:dyDescent="0.25">
      <c r="H687">
        <v>400</v>
      </c>
    </row>
    <row r="688" spans="1:23" x14ac:dyDescent="0.25">
      <c r="A688">
        <v>341</v>
      </c>
      <c r="B688">
        <v>1753</v>
      </c>
      <c r="C688" t="s">
        <v>1092</v>
      </c>
      <c r="D688" t="s">
        <v>1093</v>
      </c>
      <c r="E688" t="s">
        <v>21</v>
      </c>
      <c r="F688" t="s">
        <v>1094</v>
      </c>
      <c r="G688" t="str">
        <f>"00190532"</f>
        <v>00190532</v>
      </c>
      <c r="H688">
        <v>792</v>
      </c>
      <c r="I688">
        <v>150</v>
      </c>
      <c r="J688">
        <v>50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52</v>
      </c>
      <c r="S688">
        <v>364</v>
      </c>
      <c r="T688">
        <v>0</v>
      </c>
      <c r="V688">
        <v>0</v>
      </c>
      <c r="W688">
        <v>1356</v>
      </c>
    </row>
    <row r="689" spans="1:23" x14ac:dyDescent="0.25">
      <c r="H689">
        <v>400</v>
      </c>
    </row>
    <row r="690" spans="1:23" x14ac:dyDescent="0.25">
      <c r="A690">
        <v>342</v>
      </c>
      <c r="B690">
        <v>1636</v>
      </c>
      <c r="C690" t="s">
        <v>1095</v>
      </c>
      <c r="D690" t="s">
        <v>573</v>
      </c>
      <c r="E690" t="s">
        <v>1096</v>
      </c>
      <c r="F690" t="s">
        <v>1097</v>
      </c>
      <c r="G690" t="str">
        <f>"00160925"</f>
        <v>00160925</v>
      </c>
      <c r="H690">
        <v>715</v>
      </c>
      <c r="I690">
        <v>0</v>
      </c>
      <c r="J690">
        <v>50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84</v>
      </c>
      <c r="S690">
        <v>588</v>
      </c>
      <c r="T690">
        <v>0</v>
      </c>
      <c r="V690">
        <v>0</v>
      </c>
      <c r="W690">
        <v>1353</v>
      </c>
    </row>
    <row r="691" spans="1:23" x14ac:dyDescent="0.25">
      <c r="H691">
        <v>400</v>
      </c>
    </row>
    <row r="692" spans="1:23" x14ac:dyDescent="0.25">
      <c r="A692">
        <v>343</v>
      </c>
      <c r="B692">
        <v>834</v>
      </c>
      <c r="C692" t="s">
        <v>1098</v>
      </c>
      <c r="D692" t="s">
        <v>180</v>
      </c>
      <c r="E692" t="s">
        <v>1099</v>
      </c>
      <c r="F692" t="s">
        <v>1100</v>
      </c>
      <c r="G692" t="str">
        <f>"00214280"</f>
        <v>00214280</v>
      </c>
      <c r="H692">
        <v>715</v>
      </c>
      <c r="I692">
        <v>0</v>
      </c>
      <c r="J692">
        <v>50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84</v>
      </c>
      <c r="S692">
        <v>588</v>
      </c>
      <c r="T692">
        <v>0</v>
      </c>
      <c r="V692">
        <v>0</v>
      </c>
      <c r="W692">
        <v>1353</v>
      </c>
    </row>
    <row r="693" spans="1:23" x14ac:dyDescent="0.25">
      <c r="H693">
        <v>400</v>
      </c>
    </row>
    <row r="694" spans="1:23" x14ac:dyDescent="0.25">
      <c r="A694">
        <v>344</v>
      </c>
      <c r="B694">
        <v>1077</v>
      </c>
      <c r="C694" t="s">
        <v>1101</v>
      </c>
      <c r="D694" t="s">
        <v>313</v>
      </c>
      <c r="E694" t="s">
        <v>158</v>
      </c>
      <c r="F694" t="s">
        <v>1102</v>
      </c>
      <c r="G694" t="str">
        <f>"201406004553"</f>
        <v>201406004553</v>
      </c>
      <c r="H694" t="s">
        <v>285</v>
      </c>
      <c r="I694">
        <v>150</v>
      </c>
      <c r="J694">
        <v>70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29</v>
      </c>
      <c r="S694">
        <v>203</v>
      </c>
      <c r="T694">
        <v>0</v>
      </c>
      <c r="V694">
        <v>0</v>
      </c>
      <c r="W694" t="s">
        <v>1103</v>
      </c>
    </row>
    <row r="695" spans="1:23" x14ac:dyDescent="0.25">
      <c r="H695">
        <v>400</v>
      </c>
    </row>
    <row r="696" spans="1:23" x14ac:dyDescent="0.25">
      <c r="A696">
        <v>345</v>
      </c>
      <c r="B696">
        <v>338</v>
      </c>
      <c r="C696" t="s">
        <v>1104</v>
      </c>
      <c r="D696" t="s">
        <v>177</v>
      </c>
      <c r="E696" t="s">
        <v>158</v>
      </c>
      <c r="F696" t="s">
        <v>1105</v>
      </c>
      <c r="G696" t="str">
        <f>"201402009832"</f>
        <v>201402009832</v>
      </c>
      <c r="H696">
        <v>1045</v>
      </c>
      <c r="I696">
        <v>150</v>
      </c>
      <c r="J696">
        <v>70</v>
      </c>
      <c r="K696">
        <v>30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8</v>
      </c>
      <c r="S696">
        <v>56</v>
      </c>
      <c r="T696">
        <v>0</v>
      </c>
      <c r="V696">
        <v>0</v>
      </c>
      <c r="W696">
        <v>1351</v>
      </c>
    </row>
    <row r="697" spans="1:23" x14ac:dyDescent="0.25">
      <c r="H697">
        <v>400</v>
      </c>
    </row>
    <row r="698" spans="1:23" x14ac:dyDescent="0.25">
      <c r="A698">
        <v>346</v>
      </c>
      <c r="B698">
        <v>165</v>
      </c>
      <c r="C698" t="s">
        <v>1106</v>
      </c>
      <c r="D698" t="s">
        <v>1107</v>
      </c>
      <c r="E698" t="s">
        <v>269</v>
      </c>
      <c r="F698" t="s">
        <v>1108</v>
      </c>
      <c r="G698" t="str">
        <f>"00214666"</f>
        <v>00214666</v>
      </c>
      <c r="H698">
        <v>781</v>
      </c>
      <c r="I698">
        <v>0</v>
      </c>
      <c r="J698">
        <v>30</v>
      </c>
      <c r="K698">
        <v>70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67</v>
      </c>
      <c r="S698">
        <v>469</v>
      </c>
      <c r="T698">
        <v>0</v>
      </c>
      <c r="V698">
        <v>0</v>
      </c>
      <c r="W698">
        <v>1350</v>
      </c>
    </row>
    <row r="699" spans="1:23" x14ac:dyDescent="0.25">
      <c r="H699">
        <v>400</v>
      </c>
    </row>
    <row r="700" spans="1:23" x14ac:dyDescent="0.25">
      <c r="A700">
        <v>347</v>
      </c>
      <c r="B700">
        <v>1473</v>
      </c>
      <c r="C700" t="s">
        <v>1109</v>
      </c>
      <c r="D700" t="s">
        <v>1110</v>
      </c>
      <c r="E700" t="s">
        <v>209</v>
      </c>
      <c r="F700" t="s">
        <v>1111</v>
      </c>
      <c r="G700" t="str">
        <f>"201511031263"</f>
        <v>201511031263</v>
      </c>
      <c r="H700" t="s">
        <v>285</v>
      </c>
      <c r="I700">
        <v>0</v>
      </c>
      <c r="J700">
        <v>70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50</v>
      </c>
      <c r="S700">
        <v>350</v>
      </c>
      <c r="T700">
        <v>0</v>
      </c>
      <c r="V700">
        <v>1</v>
      </c>
      <c r="W700" t="s">
        <v>1112</v>
      </c>
    </row>
    <row r="701" spans="1:23" x14ac:dyDescent="0.25">
      <c r="H701">
        <v>400</v>
      </c>
    </row>
    <row r="702" spans="1:23" x14ac:dyDescent="0.25">
      <c r="A702">
        <v>348</v>
      </c>
      <c r="B702">
        <v>641</v>
      </c>
      <c r="C702" t="s">
        <v>1113</v>
      </c>
      <c r="D702" t="s">
        <v>1114</v>
      </c>
      <c r="E702" t="s">
        <v>59</v>
      </c>
      <c r="F702" t="s">
        <v>1115</v>
      </c>
      <c r="G702" t="str">
        <f>"201412000261"</f>
        <v>201412000261</v>
      </c>
      <c r="H702" t="s">
        <v>1116</v>
      </c>
      <c r="I702">
        <v>150</v>
      </c>
      <c r="J702">
        <v>30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12</v>
      </c>
      <c r="S702">
        <v>84</v>
      </c>
      <c r="T702">
        <v>0</v>
      </c>
      <c r="V702">
        <v>0</v>
      </c>
      <c r="W702" t="s">
        <v>1117</v>
      </c>
    </row>
    <row r="703" spans="1:23" x14ac:dyDescent="0.25">
      <c r="H703">
        <v>400</v>
      </c>
    </row>
    <row r="704" spans="1:23" x14ac:dyDescent="0.25">
      <c r="A704">
        <v>349</v>
      </c>
      <c r="B704">
        <v>1761</v>
      </c>
      <c r="C704" t="s">
        <v>1118</v>
      </c>
      <c r="D704" t="s">
        <v>27</v>
      </c>
      <c r="E704" t="s">
        <v>82</v>
      </c>
      <c r="F704" t="s">
        <v>1119</v>
      </c>
      <c r="G704" t="str">
        <f>"200802004370"</f>
        <v>200802004370</v>
      </c>
      <c r="H704">
        <v>1045</v>
      </c>
      <c r="I704">
        <v>0</v>
      </c>
      <c r="J704">
        <v>30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39</v>
      </c>
      <c r="S704">
        <v>273</v>
      </c>
      <c r="T704">
        <v>0</v>
      </c>
      <c r="V704">
        <v>1</v>
      </c>
      <c r="W704">
        <v>1348</v>
      </c>
    </row>
    <row r="705" spans="1:23" x14ac:dyDescent="0.25">
      <c r="H705">
        <v>400</v>
      </c>
    </row>
    <row r="706" spans="1:23" x14ac:dyDescent="0.25">
      <c r="A706">
        <v>350</v>
      </c>
      <c r="B706">
        <v>1330</v>
      </c>
      <c r="C706" t="s">
        <v>1120</v>
      </c>
      <c r="D706" t="s">
        <v>187</v>
      </c>
      <c r="E706" t="s">
        <v>154</v>
      </c>
      <c r="F706" t="s">
        <v>1121</v>
      </c>
      <c r="G706" t="str">
        <f>"00214391"</f>
        <v>00214391</v>
      </c>
      <c r="H706" t="s">
        <v>643</v>
      </c>
      <c r="I706">
        <v>0</v>
      </c>
      <c r="J706">
        <v>50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84</v>
      </c>
      <c r="S706">
        <v>588</v>
      </c>
      <c r="T706">
        <v>0</v>
      </c>
      <c r="V706">
        <v>0</v>
      </c>
      <c r="W706" t="s">
        <v>1122</v>
      </c>
    </row>
    <row r="707" spans="1:23" x14ac:dyDescent="0.25">
      <c r="H707">
        <v>400</v>
      </c>
    </row>
    <row r="708" spans="1:23" x14ac:dyDescent="0.25">
      <c r="A708">
        <v>351</v>
      </c>
      <c r="B708">
        <v>1677</v>
      </c>
      <c r="C708" t="s">
        <v>1123</v>
      </c>
      <c r="D708" t="s">
        <v>20</v>
      </c>
      <c r="E708" t="s">
        <v>200</v>
      </c>
      <c r="F708" t="s">
        <v>1124</v>
      </c>
      <c r="G708" t="str">
        <f>"201406005310"</f>
        <v>201406005310</v>
      </c>
      <c r="H708">
        <v>825</v>
      </c>
      <c r="I708">
        <v>150</v>
      </c>
      <c r="J708">
        <v>70</v>
      </c>
      <c r="K708">
        <v>50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36</v>
      </c>
      <c r="S708">
        <v>252</v>
      </c>
      <c r="T708">
        <v>0</v>
      </c>
      <c r="V708">
        <v>0</v>
      </c>
      <c r="W708">
        <v>1347</v>
      </c>
    </row>
    <row r="709" spans="1:23" x14ac:dyDescent="0.25">
      <c r="H709">
        <v>400</v>
      </c>
    </row>
    <row r="710" spans="1:23" x14ac:dyDescent="0.25">
      <c r="A710">
        <v>352</v>
      </c>
      <c r="B710">
        <v>1348</v>
      </c>
      <c r="C710" t="s">
        <v>1125</v>
      </c>
      <c r="D710" t="s">
        <v>20</v>
      </c>
      <c r="E710" t="s">
        <v>610</v>
      </c>
      <c r="F710" t="s">
        <v>1126</v>
      </c>
      <c r="G710" t="str">
        <f>"201412004383"</f>
        <v>201412004383</v>
      </c>
      <c r="H710" t="s">
        <v>1127</v>
      </c>
      <c r="I710">
        <v>0</v>
      </c>
      <c r="J710">
        <v>30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34</v>
      </c>
      <c r="S710">
        <v>238</v>
      </c>
      <c r="T710">
        <v>0</v>
      </c>
      <c r="V710">
        <v>0</v>
      </c>
      <c r="W710" t="s">
        <v>1128</v>
      </c>
    </row>
    <row r="711" spans="1:23" x14ac:dyDescent="0.25">
      <c r="H711">
        <v>400</v>
      </c>
    </row>
    <row r="712" spans="1:23" x14ac:dyDescent="0.25">
      <c r="A712">
        <v>353</v>
      </c>
      <c r="B712">
        <v>1183</v>
      </c>
      <c r="C712" t="s">
        <v>1129</v>
      </c>
      <c r="D712" t="s">
        <v>298</v>
      </c>
      <c r="E712" t="s">
        <v>71</v>
      </c>
      <c r="F712" t="s">
        <v>1130</v>
      </c>
      <c r="G712" t="str">
        <f>"00184102"</f>
        <v>00184102</v>
      </c>
      <c r="H712" t="s">
        <v>1131</v>
      </c>
      <c r="I712">
        <v>0</v>
      </c>
      <c r="J712">
        <v>30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68</v>
      </c>
      <c r="S712">
        <v>476</v>
      </c>
      <c r="T712">
        <v>0</v>
      </c>
      <c r="V712">
        <v>0</v>
      </c>
      <c r="W712" t="s">
        <v>1132</v>
      </c>
    </row>
    <row r="713" spans="1:23" x14ac:dyDescent="0.25">
      <c r="H713">
        <v>400</v>
      </c>
    </row>
    <row r="714" spans="1:23" x14ac:dyDescent="0.25">
      <c r="A714">
        <v>354</v>
      </c>
      <c r="B714">
        <v>1766</v>
      </c>
      <c r="C714" t="s">
        <v>1133</v>
      </c>
      <c r="D714" t="s">
        <v>1134</v>
      </c>
      <c r="E714" t="s">
        <v>209</v>
      </c>
      <c r="F714" t="s">
        <v>1135</v>
      </c>
      <c r="G714" t="str">
        <f>"201511021395"</f>
        <v>201511021395</v>
      </c>
      <c r="H714">
        <v>726</v>
      </c>
      <c r="I714">
        <v>0</v>
      </c>
      <c r="J714">
        <v>30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84</v>
      </c>
      <c r="S714">
        <v>588</v>
      </c>
      <c r="T714">
        <v>0</v>
      </c>
      <c r="V714">
        <v>0</v>
      </c>
      <c r="W714">
        <v>1344</v>
      </c>
    </row>
    <row r="715" spans="1:23" x14ac:dyDescent="0.25">
      <c r="H715">
        <v>400</v>
      </c>
    </row>
    <row r="716" spans="1:23" x14ac:dyDescent="0.25">
      <c r="A716">
        <v>355</v>
      </c>
      <c r="B716">
        <v>819</v>
      </c>
      <c r="C716" t="s">
        <v>1136</v>
      </c>
      <c r="D716" t="s">
        <v>15</v>
      </c>
      <c r="E716" t="s">
        <v>229</v>
      </c>
      <c r="F716" t="s">
        <v>1137</v>
      </c>
      <c r="G716" t="str">
        <f>"201412005570"</f>
        <v>201412005570</v>
      </c>
      <c r="H716">
        <v>726</v>
      </c>
      <c r="I716">
        <v>0</v>
      </c>
      <c r="J716">
        <v>30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84</v>
      </c>
      <c r="S716">
        <v>588</v>
      </c>
      <c r="T716">
        <v>0</v>
      </c>
      <c r="V716">
        <v>0</v>
      </c>
      <c r="W716">
        <v>1344</v>
      </c>
    </row>
    <row r="717" spans="1:23" x14ac:dyDescent="0.25">
      <c r="H717">
        <v>400</v>
      </c>
    </row>
    <row r="718" spans="1:23" x14ac:dyDescent="0.25">
      <c r="A718">
        <v>356</v>
      </c>
      <c r="B718">
        <v>1342</v>
      </c>
      <c r="C718" t="s">
        <v>1138</v>
      </c>
      <c r="D718" t="s">
        <v>177</v>
      </c>
      <c r="E718" t="s">
        <v>27</v>
      </c>
      <c r="F718" t="s">
        <v>1139</v>
      </c>
      <c r="G718" t="str">
        <f>"00217639"</f>
        <v>00217639</v>
      </c>
      <c r="H718">
        <v>1012</v>
      </c>
      <c r="I718">
        <v>0</v>
      </c>
      <c r="J718">
        <v>30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43</v>
      </c>
      <c r="S718">
        <v>301</v>
      </c>
      <c r="T718">
        <v>0</v>
      </c>
      <c r="V718">
        <v>0</v>
      </c>
      <c r="W718">
        <v>1343</v>
      </c>
    </row>
    <row r="719" spans="1:23" x14ac:dyDescent="0.25">
      <c r="H719">
        <v>400</v>
      </c>
    </row>
    <row r="720" spans="1:23" x14ac:dyDescent="0.25">
      <c r="A720">
        <v>357</v>
      </c>
      <c r="B720">
        <v>774</v>
      </c>
      <c r="C720" t="s">
        <v>1140</v>
      </c>
      <c r="D720" t="s">
        <v>1141</v>
      </c>
      <c r="E720" t="s">
        <v>87</v>
      </c>
      <c r="F720" t="s">
        <v>1142</v>
      </c>
      <c r="G720" t="str">
        <f>"201304004248"</f>
        <v>201304004248</v>
      </c>
      <c r="H720" t="s">
        <v>1143</v>
      </c>
      <c r="I720">
        <v>0</v>
      </c>
      <c r="J720">
        <v>70</v>
      </c>
      <c r="K720">
        <v>0</v>
      </c>
      <c r="L720">
        <v>0</v>
      </c>
      <c r="M720">
        <v>30</v>
      </c>
      <c r="N720">
        <v>0</v>
      </c>
      <c r="O720">
        <v>0</v>
      </c>
      <c r="P720">
        <v>0</v>
      </c>
      <c r="Q720">
        <v>0</v>
      </c>
      <c r="R720">
        <v>29</v>
      </c>
      <c r="S720">
        <v>203</v>
      </c>
      <c r="T720">
        <v>0</v>
      </c>
      <c r="V720">
        <v>0</v>
      </c>
      <c r="W720" t="s">
        <v>1144</v>
      </c>
    </row>
    <row r="721" spans="1:23" x14ac:dyDescent="0.25">
      <c r="H721">
        <v>400</v>
      </c>
    </row>
    <row r="722" spans="1:23" x14ac:dyDescent="0.25">
      <c r="A722">
        <v>358</v>
      </c>
      <c r="B722">
        <v>1429</v>
      </c>
      <c r="C722" t="s">
        <v>1145</v>
      </c>
      <c r="D722" t="s">
        <v>1146</v>
      </c>
      <c r="E722" t="s">
        <v>21</v>
      </c>
      <c r="F722" t="s">
        <v>1147</v>
      </c>
      <c r="G722" t="str">
        <f>"201304004434"</f>
        <v>201304004434</v>
      </c>
      <c r="H722">
        <v>968</v>
      </c>
      <c r="I722">
        <v>0</v>
      </c>
      <c r="J722">
        <v>70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39</v>
      </c>
      <c r="S722">
        <v>273</v>
      </c>
      <c r="T722">
        <v>0</v>
      </c>
      <c r="V722">
        <v>0</v>
      </c>
      <c r="W722">
        <v>1341</v>
      </c>
    </row>
    <row r="723" spans="1:23" x14ac:dyDescent="0.25">
      <c r="H723" t="s">
        <v>76</v>
      </c>
    </row>
    <row r="724" spans="1:23" x14ac:dyDescent="0.25">
      <c r="A724">
        <v>359</v>
      </c>
      <c r="B724">
        <v>425</v>
      </c>
      <c r="C724" t="s">
        <v>1148</v>
      </c>
      <c r="D724" t="s">
        <v>209</v>
      </c>
      <c r="E724" t="s">
        <v>144</v>
      </c>
      <c r="F724" t="s">
        <v>1149</v>
      </c>
      <c r="G724" t="str">
        <f>"201410001462"</f>
        <v>201410001462</v>
      </c>
      <c r="H724">
        <v>825</v>
      </c>
      <c r="I724">
        <v>150</v>
      </c>
      <c r="J724">
        <v>30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48</v>
      </c>
      <c r="S724">
        <v>336</v>
      </c>
      <c r="T724">
        <v>0</v>
      </c>
      <c r="V724">
        <v>0</v>
      </c>
      <c r="W724">
        <v>1341</v>
      </c>
    </row>
    <row r="725" spans="1:23" x14ac:dyDescent="0.25">
      <c r="H725" t="s">
        <v>76</v>
      </c>
    </row>
    <row r="726" spans="1:23" x14ac:dyDescent="0.25">
      <c r="A726">
        <v>360</v>
      </c>
      <c r="B726">
        <v>32</v>
      </c>
      <c r="C726" t="s">
        <v>1150</v>
      </c>
      <c r="D726" t="s">
        <v>71</v>
      </c>
      <c r="E726" t="s">
        <v>1151</v>
      </c>
      <c r="F726" t="s">
        <v>1152</v>
      </c>
      <c r="G726" t="str">
        <f>"00020689"</f>
        <v>00020689</v>
      </c>
      <c r="H726">
        <v>825</v>
      </c>
      <c r="I726">
        <v>150</v>
      </c>
      <c r="J726">
        <v>30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48</v>
      </c>
      <c r="S726">
        <v>336</v>
      </c>
      <c r="T726">
        <v>0</v>
      </c>
      <c r="V726">
        <v>0</v>
      </c>
      <c r="W726">
        <v>1341</v>
      </c>
    </row>
    <row r="727" spans="1:23" x14ac:dyDescent="0.25">
      <c r="H727">
        <v>400</v>
      </c>
    </row>
    <row r="728" spans="1:23" x14ac:dyDescent="0.25">
      <c r="A728">
        <v>361</v>
      </c>
      <c r="B728">
        <v>1400</v>
      </c>
      <c r="C728" t="s">
        <v>1153</v>
      </c>
      <c r="D728" t="s">
        <v>27</v>
      </c>
      <c r="E728" t="s">
        <v>15</v>
      </c>
      <c r="F728" t="s">
        <v>1154</v>
      </c>
      <c r="G728" t="str">
        <f>"201304000792"</f>
        <v>201304000792</v>
      </c>
      <c r="H728" t="s">
        <v>249</v>
      </c>
      <c r="I728">
        <v>0</v>
      </c>
      <c r="J728">
        <v>30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51</v>
      </c>
      <c r="S728">
        <v>357</v>
      </c>
      <c r="T728">
        <v>0</v>
      </c>
      <c r="V728">
        <v>0</v>
      </c>
      <c r="W728" t="s">
        <v>1155</v>
      </c>
    </row>
    <row r="729" spans="1:23" x14ac:dyDescent="0.25">
      <c r="H729">
        <v>400</v>
      </c>
    </row>
    <row r="730" spans="1:23" x14ac:dyDescent="0.25">
      <c r="A730">
        <v>362</v>
      </c>
      <c r="B730">
        <v>1878</v>
      </c>
      <c r="C730" t="s">
        <v>1156</v>
      </c>
      <c r="D730" t="s">
        <v>177</v>
      </c>
      <c r="E730" t="s">
        <v>209</v>
      </c>
      <c r="F730" t="s">
        <v>1157</v>
      </c>
      <c r="G730" t="str">
        <f>"201304003043"</f>
        <v>201304003043</v>
      </c>
      <c r="H730" t="s">
        <v>694</v>
      </c>
      <c r="I730">
        <v>0</v>
      </c>
      <c r="J730">
        <v>70</v>
      </c>
      <c r="K730">
        <v>0</v>
      </c>
      <c r="L730">
        <v>30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58</v>
      </c>
      <c r="S730">
        <v>406</v>
      </c>
      <c r="T730">
        <v>0</v>
      </c>
      <c r="V730">
        <v>0</v>
      </c>
      <c r="W730" t="s">
        <v>1158</v>
      </c>
    </row>
    <row r="731" spans="1:23" x14ac:dyDescent="0.25">
      <c r="H731">
        <v>400</v>
      </c>
    </row>
    <row r="732" spans="1:23" x14ac:dyDescent="0.25">
      <c r="A732">
        <v>363</v>
      </c>
      <c r="B732">
        <v>1071</v>
      </c>
      <c r="C732" t="s">
        <v>1159</v>
      </c>
      <c r="D732" t="s">
        <v>180</v>
      </c>
      <c r="E732" t="s">
        <v>71</v>
      </c>
      <c r="F732" t="s">
        <v>1160</v>
      </c>
      <c r="G732" t="str">
        <f>"00216788"</f>
        <v>00216788</v>
      </c>
      <c r="H732" t="s">
        <v>433</v>
      </c>
      <c r="I732">
        <v>0</v>
      </c>
      <c r="J732">
        <v>30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32</v>
      </c>
      <c r="S732">
        <v>224</v>
      </c>
      <c r="T732">
        <v>0</v>
      </c>
      <c r="V732">
        <v>0</v>
      </c>
      <c r="W732" t="s">
        <v>1161</v>
      </c>
    </row>
    <row r="733" spans="1:23" x14ac:dyDescent="0.25">
      <c r="H733">
        <v>400</v>
      </c>
    </row>
    <row r="734" spans="1:23" x14ac:dyDescent="0.25">
      <c r="A734">
        <v>364</v>
      </c>
      <c r="B734">
        <v>1281</v>
      </c>
      <c r="C734" t="s">
        <v>1162</v>
      </c>
      <c r="D734" t="s">
        <v>158</v>
      </c>
      <c r="E734" t="s">
        <v>1163</v>
      </c>
      <c r="F734" t="s">
        <v>1164</v>
      </c>
      <c r="G734" t="str">
        <f>"00211998"</f>
        <v>00211998</v>
      </c>
      <c r="H734">
        <v>715</v>
      </c>
      <c r="I734">
        <v>0</v>
      </c>
      <c r="J734">
        <v>30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84</v>
      </c>
      <c r="S734">
        <v>588</v>
      </c>
      <c r="T734">
        <v>0</v>
      </c>
      <c r="V734">
        <v>0</v>
      </c>
      <c r="W734">
        <v>1333</v>
      </c>
    </row>
    <row r="735" spans="1:23" x14ac:dyDescent="0.25">
      <c r="H735">
        <v>400</v>
      </c>
    </row>
    <row r="736" spans="1:23" x14ac:dyDescent="0.25">
      <c r="A736">
        <v>365</v>
      </c>
      <c r="B736">
        <v>1610</v>
      </c>
      <c r="C736" t="s">
        <v>1165</v>
      </c>
      <c r="D736" t="s">
        <v>78</v>
      </c>
      <c r="E736" t="s">
        <v>942</v>
      </c>
      <c r="F736" t="s">
        <v>1166</v>
      </c>
      <c r="G736" t="str">
        <f>"201010000172"</f>
        <v>201010000172</v>
      </c>
      <c r="H736" t="s">
        <v>1167</v>
      </c>
      <c r="I736">
        <v>150</v>
      </c>
      <c r="J736">
        <v>30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38</v>
      </c>
      <c r="S736">
        <v>266</v>
      </c>
      <c r="T736">
        <v>0</v>
      </c>
      <c r="V736">
        <v>0</v>
      </c>
      <c r="W736" t="s">
        <v>1168</v>
      </c>
    </row>
    <row r="737" spans="1:23" x14ac:dyDescent="0.25">
      <c r="H737">
        <v>400</v>
      </c>
    </row>
    <row r="738" spans="1:23" x14ac:dyDescent="0.25">
      <c r="A738">
        <v>366</v>
      </c>
      <c r="B738">
        <v>1246</v>
      </c>
      <c r="C738" t="s">
        <v>1169</v>
      </c>
      <c r="D738" t="s">
        <v>187</v>
      </c>
      <c r="E738" t="s">
        <v>408</v>
      </c>
      <c r="F738" t="s">
        <v>1170</v>
      </c>
      <c r="G738" t="str">
        <f>"201511040644"</f>
        <v>201511040644</v>
      </c>
      <c r="H738" t="s">
        <v>459</v>
      </c>
      <c r="I738">
        <v>150</v>
      </c>
      <c r="J738">
        <v>70</v>
      </c>
      <c r="K738">
        <v>30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25</v>
      </c>
      <c r="S738">
        <v>175</v>
      </c>
      <c r="T738">
        <v>0</v>
      </c>
      <c r="V738">
        <v>0</v>
      </c>
      <c r="W738" t="s">
        <v>1171</v>
      </c>
    </row>
    <row r="739" spans="1:23" x14ac:dyDescent="0.25">
      <c r="H739">
        <v>400</v>
      </c>
    </row>
    <row r="740" spans="1:23" x14ac:dyDescent="0.25">
      <c r="A740">
        <v>367</v>
      </c>
      <c r="B740">
        <v>1614</v>
      </c>
      <c r="C740" t="s">
        <v>1172</v>
      </c>
      <c r="D740" t="s">
        <v>363</v>
      </c>
      <c r="E740" t="s">
        <v>49</v>
      </c>
      <c r="F740" t="s">
        <v>1173</v>
      </c>
      <c r="G740" t="str">
        <f>"200911000557"</f>
        <v>200911000557</v>
      </c>
      <c r="H740">
        <v>880</v>
      </c>
      <c r="I740">
        <v>0</v>
      </c>
      <c r="J740">
        <v>30</v>
      </c>
      <c r="K740">
        <v>0</v>
      </c>
      <c r="L740">
        <v>30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56</v>
      </c>
      <c r="S740">
        <v>392</v>
      </c>
      <c r="T740">
        <v>0</v>
      </c>
      <c r="V740">
        <v>2</v>
      </c>
      <c r="W740">
        <v>1332</v>
      </c>
    </row>
    <row r="741" spans="1:23" x14ac:dyDescent="0.25">
      <c r="H741">
        <v>400</v>
      </c>
    </row>
    <row r="742" spans="1:23" x14ac:dyDescent="0.25">
      <c r="A742">
        <v>368</v>
      </c>
      <c r="B742">
        <v>193</v>
      </c>
      <c r="C742" t="s">
        <v>1174</v>
      </c>
      <c r="D742" t="s">
        <v>74</v>
      </c>
      <c r="E742" t="s">
        <v>241</v>
      </c>
      <c r="F742" t="s">
        <v>1175</v>
      </c>
      <c r="G742" t="str">
        <f>"201406001933"</f>
        <v>201406001933</v>
      </c>
      <c r="H742">
        <v>836</v>
      </c>
      <c r="I742">
        <v>150</v>
      </c>
      <c r="J742">
        <v>70</v>
      </c>
      <c r="K742">
        <v>0</v>
      </c>
      <c r="L742">
        <v>0</v>
      </c>
      <c r="M742">
        <v>30</v>
      </c>
      <c r="N742">
        <v>0</v>
      </c>
      <c r="O742">
        <v>0</v>
      </c>
      <c r="P742">
        <v>0</v>
      </c>
      <c r="Q742">
        <v>0</v>
      </c>
      <c r="R742">
        <v>35</v>
      </c>
      <c r="S742">
        <v>245</v>
      </c>
      <c r="T742">
        <v>0</v>
      </c>
      <c r="V742">
        <v>0</v>
      </c>
      <c r="W742">
        <v>1331</v>
      </c>
    </row>
    <row r="743" spans="1:23" x14ac:dyDescent="0.25">
      <c r="H743">
        <v>400</v>
      </c>
    </row>
    <row r="744" spans="1:23" x14ac:dyDescent="0.25">
      <c r="A744">
        <v>369</v>
      </c>
      <c r="B744">
        <v>1276</v>
      </c>
      <c r="C744" t="s">
        <v>1176</v>
      </c>
      <c r="D744" t="s">
        <v>883</v>
      </c>
      <c r="E744" t="s">
        <v>15</v>
      </c>
      <c r="F744" t="s">
        <v>1177</v>
      </c>
      <c r="G744" t="str">
        <f>"201212000047"</f>
        <v>201212000047</v>
      </c>
      <c r="H744" t="s">
        <v>84</v>
      </c>
      <c r="I744">
        <v>0</v>
      </c>
      <c r="J744">
        <v>70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30</v>
      </c>
      <c r="S744">
        <v>210</v>
      </c>
      <c r="T744">
        <v>0</v>
      </c>
      <c r="V744">
        <v>0</v>
      </c>
      <c r="W744" t="s">
        <v>1178</v>
      </c>
    </row>
    <row r="745" spans="1:23" x14ac:dyDescent="0.25">
      <c r="H745">
        <v>400</v>
      </c>
    </row>
    <row r="746" spans="1:23" x14ac:dyDescent="0.25">
      <c r="A746">
        <v>370</v>
      </c>
      <c r="B746">
        <v>1195</v>
      </c>
      <c r="C746" t="s">
        <v>1179</v>
      </c>
      <c r="D746" t="s">
        <v>1180</v>
      </c>
      <c r="E746" t="s">
        <v>39</v>
      </c>
      <c r="F746" t="s">
        <v>1181</v>
      </c>
      <c r="G746" t="str">
        <f>"201304004291"</f>
        <v>201304004291</v>
      </c>
      <c r="H746">
        <v>979</v>
      </c>
      <c r="I746">
        <v>0</v>
      </c>
      <c r="J746">
        <v>50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43</v>
      </c>
      <c r="S746">
        <v>301</v>
      </c>
      <c r="T746">
        <v>0</v>
      </c>
      <c r="V746">
        <v>0</v>
      </c>
      <c r="W746">
        <v>1330</v>
      </c>
    </row>
    <row r="747" spans="1:23" x14ac:dyDescent="0.25">
      <c r="H747">
        <v>400</v>
      </c>
    </row>
    <row r="748" spans="1:23" x14ac:dyDescent="0.25">
      <c r="A748">
        <v>371</v>
      </c>
      <c r="B748">
        <v>1861</v>
      </c>
      <c r="C748" t="s">
        <v>1182</v>
      </c>
      <c r="D748" t="s">
        <v>1183</v>
      </c>
      <c r="E748" t="s">
        <v>942</v>
      </c>
      <c r="F748" t="s">
        <v>1184</v>
      </c>
      <c r="G748" t="str">
        <f>"00194121"</f>
        <v>00194121</v>
      </c>
      <c r="H748" t="s">
        <v>35</v>
      </c>
      <c r="I748">
        <v>150</v>
      </c>
      <c r="J748">
        <v>70</v>
      </c>
      <c r="K748">
        <v>70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V748">
        <v>0</v>
      </c>
      <c r="W748" t="s">
        <v>1185</v>
      </c>
    </row>
    <row r="749" spans="1:23" x14ac:dyDescent="0.25">
      <c r="H749">
        <v>400</v>
      </c>
    </row>
    <row r="750" spans="1:23" x14ac:dyDescent="0.25">
      <c r="A750">
        <v>372</v>
      </c>
      <c r="B750">
        <v>300</v>
      </c>
      <c r="C750" t="s">
        <v>1186</v>
      </c>
      <c r="D750" t="s">
        <v>220</v>
      </c>
      <c r="E750" t="s">
        <v>462</v>
      </c>
      <c r="F750" t="s">
        <v>1187</v>
      </c>
      <c r="G750" t="str">
        <f>"00216816"</f>
        <v>00216816</v>
      </c>
      <c r="H750">
        <v>891</v>
      </c>
      <c r="I750">
        <v>150</v>
      </c>
      <c r="J750">
        <v>70</v>
      </c>
      <c r="K750">
        <v>0</v>
      </c>
      <c r="L750">
        <v>0</v>
      </c>
      <c r="M750">
        <v>50</v>
      </c>
      <c r="N750">
        <v>0</v>
      </c>
      <c r="O750">
        <v>0</v>
      </c>
      <c r="P750">
        <v>0</v>
      </c>
      <c r="Q750">
        <v>0</v>
      </c>
      <c r="R750">
        <v>24</v>
      </c>
      <c r="S750">
        <v>168</v>
      </c>
      <c r="T750">
        <v>0</v>
      </c>
      <c r="V750">
        <v>2</v>
      </c>
      <c r="W750">
        <v>1329</v>
      </c>
    </row>
    <row r="751" spans="1:23" x14ac:dyDescent="0.25">
      <c r="H751">
        <v>400</v>
      </c>
    </row>
    <row r="752" spans="1:23" x14ac:dyDescent="0.25">
      <c r="A752">
        <v>373</v>
      </c>
      <c r="B752">
        <v>1718</v>
      </c>
      <c r="C752" t="s">
        <v>1188</v>
      </c>
      <c r="D752" t="s">
        <v>363</v>
      </c>
      <c r="E752" t="s">
        <v>158</v>
      </c>
      <c r="F752" t="s">
        <v>1189</v>
      </c>
      <c r="G752" t="str">
        <f>"201406013968"</f>
        <v>201406013968</v>
      </c>
      <c r="H752">
        <v>737</v>
      </c>
      <c r="I752">
        <v>0</v>
      </c>
      <c r="J752">
        <v>30</v>
      </c>
      <c r="K752">
        <v>30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76</v>
      </c>
      <c r="S752">
        <v>532</v>
      </c>
      <c r="T752">
        <v>0</v>
      </c>
      <c r="V752">
        <v>2</v>
      </c>
      <c r="W752">
        <v>1329</v>
      </c>
    </row>
    <row r="753" spans="1:23" x14ac:dyDescent="0.25">
      <c r="H753">
        <v>400</v>
      </c>
    </row>
    <row r="754" spans="1:23" x14ac:dyDescent="0.25">
      <c r="A754">
        <v>374</v>
      </c>
      <c r="B754">
        <v>1637</v>
      </c>
      <c r="C754" t="s">
        <v>1190</v>
      </c>
      <c r="D754" t="s">
        <v>20</v>
      </c>
      <c r="E754" t="s">
        <v>59</v>
      </c>
      <c r="F754" t="s">
        <v>1191</v>
      </c>
      <c r="G754" t="str">
        <f>"201504003931"</f>
        <v>201504003931</v>
      </c>
      <c r="H754">
        <v>715</v>
      </c>
      <c r="I754">
        <v>150</v>
      </c>
      <c r="J754">
        <v>70</v>
      </c>
      <c r="K754">
        <v>30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52</v>
      </c>
      <c r="S754">
        <v>364</v>
      </c>
      <c r="T754">
        <v>0</v>
      </c>
      <c r="V754">
        <v>0</v>
      </c>
      <c r="W754">
        <v>1329</v>
      </c>
    </row>
    <row r="755" spans="1:23" x14ac:dyDescent="0.25">
      <c r="H755">
        <v>400</v>
      </c>
    </row>
    <row r="756" spans="1:23" x14ac:dyDescent="0.25">
      <c r="A756">
        <v>375</v>
      </c>
      <c r="B756">
        <v>1235</v>
      </c>
      <c r="C756" t="s">
        <v>1192</v>
      </c>
      <c r="D756" t="s">
        <v>1193</v>
      </c>
      <c r="E756" t="s">
        <v>942</v>
      </c>
      <c r="F756" t="s">
        <v>1194</v>
      </c>
      <c r="G756" t="str">
        <f>"201512000759"</f>
        <v>201512000759</v>
      </c>
      <c r="H756" t="s">
        <v>41</v>
      </c>
      <c r="I756">
        <v>0</v>
      </c>
      <c r="J756">
        <v>70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36</v>
      </c>
      <c r="S756">
        <v>252</v>
      </c>
      <c r="T756">
        <v>0</v>
      </c>
      <c r="V756">
        <v>2</v>
      </c>
      <c r="W756" t="s">
        <v>1195</v>
      </c>
    </row>
    <row r="757" spans="1:23" x14ac:dyDescent="0.25">
      <c r="H757">
        <v>400</v>
      </c>
    </row>
    <row r="758" spans="1:23" x14ac:dyDescent="0.25">
      <c r="A758">
        <v>376</v>
      </c>
      <c r="B758">
        <v>1508</v>
      </c>
      <c r="C758" t="s">
        <v>1196</v>
      </c>
      <c r="D758" t="s">
        <v>1197</v>
      </c>
      <c r="E758" t="s">
        <v>272</v>
      </c>
      <c r="F758" t="s">
        <v>1198</v>
      </c>
      <c r="G758" t="str">
        <f>"00139581"</f>
        <v>00139581</v>
      </c>
      <c r="H758" t="s">
        <v>643</v>
      </c>
      <c r="I758">
        <v>0</v>
      </c>
      <c r="J758">
        <v>30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84</v>
      </c>
      <c r="S758">
        <v>588</v>
      </c>
      <c r="T758">
        <v>0</v>
      </c>
      <c r="V758">
        <v>0</v>
      </c>
      <c r="W758" t="s">
        <v>1199</v>
      </c>
    </row>
    <row r="759" spans="1:23" x14ac:dyDescent="0.25">
      <c r="H759">
        <v>400</v>
      </c>
    </row>
    <row r="760" spans="1:23" x14ac:dyDescent="0.25">
      <c r="A760">
        <v>377</v>
      </c>
      <c r="B760">
        <v>738</v>
      </c>
      <c r="C760" t="s">
        <v>1200</v>
      </c>
      <c r="D760" t="s">
        <v>177</v>
      </c>
      <c r="E760" t="s">
        <v>158</v>
      </c>
      <c r="F760" t="s">
        <v>1201</v>
      </c>
      <c r="G760" t="str">
        <f>"201406000781"</f>
        <v>201406000781</v>
      </c>
      <c r="H760" t="s">
        <v>35</v>
      </c>
      <c r="I760">
        <v>0</v>
      </c>
      <c r="J760">
        <v>70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31</v>
      </c>
      <c r="S760">
        <v>217</v>
      </c>
      <c r="T760">
        <v>0</v>
      </c>
      <c r="V760">
        <v>0</v>
      </c>
      <c r="W760" t="s">
        <v>1202</v>
      </c>
    </row>
    <row r="761" spans="1:23" x14ac:dyDescent="0.25">
      <c r="H761">
        <v>400</v>
      </c>
    </row>
    <row r="762" spans="1:23" x14ac:dyDescent="0.25">
      <c r="A762">
        <v>378</v>
      </c>
      <c r="B762">
        <v>2</v>
      </c>
      <c r="C762" t="s">
        <v>1203</v>
      </c>
      <c r="D762" t="s">
        <v>298</v>
      </c>
      <c r="E762" t="s">
        <v>71</v>
      </c>
      <c r="F762" t="s">
        <v>1204</v>
      </c>
      <c r="G762" t="str">
        <f>"00217284"</f>
        <v>00217284</v>
      </c>
      <c r="H762" t="s">
        <v>1205</v>
      </c>
      <c r="I762">
        <v>0</v>
      </c>
      <c r="J762">
        <v>50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84</v>
      </c>
      <c r="S762">
        <v>588</v>
      </c>
      <c r="T762">
        <v>0</v>
      </c>
      <c r="V762">
        <v>1</v>
      </c>
      <c r="W762" t="s">
        <v>1206</v>
      </c>
    </row>
    <row r="763" spans="1:23" x14ac:dyDescent="0.25">
      <c r="H763">
        <v>400</v>
      </c>
    </row>
    <row r="764" spans="1:23" x14ac:dyDescent="0.25">
      <c r="A764">
        <v>379</v>
      </c>
      <c r="B764">
        <v>1889</v>
      </c>
      <c r="C764" t="s">
        <v>1207</v>
      </c>
      <c r="D764" t="s">
        <v>192</v>
      </c>
      <c r="E764" t="s">
        <v>209</v>
      </c>
      <c r="F764" t="s">
        <v>1208</v>
      </c>
      <c r="G764" t="str">
        <f>"00146893"</f>
        <v>00146893</v>
      </c>
      <c r="H764" t="s">
        <v>1209</v>
      </c>
      <c r="I764">
        <v>0</v>
      </c>
      <c r="J764">
        <v>30</v>
      </c>
      <c r="K764">
        <v>30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84</v>
      </c>
      <c r="S764">
        <v>588</v>
      </c>
      <c r="T764">
        <v>0</v>
      </c>
      <c r="V764">
        <v>0</v>
      </c>
      <c r="W764" t="s">
        <v>1210</v>
      </c>
    </row>
    <row r="765" spans="1:23" x14ac:dyDescent="0.25">
      <c r="H765">
        <v>400</v>
      </c>
    </row>
    <row r="766" spans="1:23" x14ac:dyDescent="0.25">
      <c r="A766">
        <v>380</v>
      </c>
      <c r="B766">
        <v>1242</v>
      </c>
      <c r="C766" t="s">
        <v>1211</v>
      </c>
      <c r="D766" t="s">
        <v>163</v>
      </c>
      <c r="E766" t="s">
        <v>15</v>
      </c>
      <c r="F766" t="s">
        <v>1212</v>
      </c>
      <c r="G766" t="str">
        <f>"201412006146"</f>
        <v>201412006146</v>
      </c>
      <c r="H766">
        <v>902</v>
      </c>
      <c r="I766">
        <v>0</v>
      </c>
      <c r="J766">
        <v>30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56</v>
      </c>
      <c r="S766">
        <v>392</v>
      </c>
      <c r="T766">
        <v>0</v>
      </c>
      <c r="V766">
        <v>0</v>
      </c>
      <c r="W766">
        <v>1324</v>
      </c>
    </row>
    <row r="767" spans="1:23" x14ac:dyDescent="0.25">
      <c r="H767">
        <v>400</v>
      </c>
    </row>
    <row r="768" spans="1:23" x14ac:dyDescent="0.25">
      <c r="A768">
        <v>381</v>
      </c>
      <c r="B768">
        <v>1172</v>
      </c>
      <c r="C768" t="s">
        <v>1213</v>
      </c>
      <c r="D768" t="s">
        <v>180</v>
      </c>
      <c r="E768" t="s">
        <v>195</v>
      </c>
      <c r="F768" t="s">
        <v>1214</v>
      </c>
      <c r="G768" t="str">
        <f>"200802002815"</f>
        <v>200802002815</v>
      </c>
      <c r="H768">
        <v>935</v>
      </c>
      <c r="I768">
        <v>0</v>
      </c>
      <c r="J768">
        <v>70</v>
      </c>
      <c r="K768">
        <v>0</v>
      </c>
      <c r="L768">
        <v>50</v>
      </c>
      <c r="M768">
        <v>0</v>
      </c>
      <c r="N768">
        <v>0</v>
      </c>
      <c r="O768">
        <v>0</v>
      </c>
      <c r="P768">
        <v>50</v>
      </c>
      <c r="Q768">
        <v>0</v>
      </c>
      <c r="R768">
        <v>31</v>
      </c>
      <c r="S768">
        <v>217</v>
      </c>
      <c r="T768">
        <v>0</v>
      </c>
      <c r="V768">
        <v>0</v>
      </c>
      <c r="W768">
        <v>1322</v>
      </c>
    </row>
    <row r="769" spans="1:23" x14ac:dyDescent="0.25">
      <c r="H769">
        <v>400</v>
      </c>
    </row>
    <row r="770" spans="1:23" x14ac:dyDescent="0.25">
      <c r="A770">
        <v>382</v>
      </c>
      <c r="B770">
        <v>285</v>
      </c>
      <c r="C770" t="s">
        <v>1203</v>
      </c>
      <c r="D770" t="s">
        <v>1215</v>
      </c>
      <c r="E770" t="s">
        <v>71</v>
      </c>
      <c r="F770" t="s">
        <v>1216</v>
      </c>
      <c r="G770" t="str">
        <f>"00217362"</f>
        <v>00217362</v>
      </c>
      <c r="H770">
        <v>704</v>
      </c>
      <c r="I770">
        <v>0</v>
      </c>
      <c r="J770">
        <v>30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84</v>
      </c>
      <c r="S770">
        <v>588</v>
      </c>
      <c r="T770">
        <v>0</v>
      </c>
      <c r="V770">
        <v>0</v>
      </c>
      <c r="W770">
        <v>1322</v>
      </c>
    </row>
    <row r="771" spans="1:23" x14ac:dyDescent="0.25">
      <c r="H771">
        <v>400</v>
      </c>
    </row>
    <row r="772" spans="1:23" x14ac:dyDescent="0.25">
      <c r="A772">
        <v>383</v>
      </c>
      <c r="B772">
        <v>1010</v>
      </c>
      <c r="C772" t="s">
        <v>1217</v>
      </c>
      <c r="D772" t="s">
        <v>59</v>
      </c>
      <c r="E772" t="s">
        <v>1218</v>
      </c>
      <c r="F772" t="s">
        <v>1219</v>
      </c>
      <c r="G772" t="str">
        <f>"201406016284"</f>
        <v>201406016284</v>
      </c>
      <c r="H772">
        <v>704</v>
      </c>
      <c r="I772">
        <v>0</v>
      </c>
      <c r="J772">
        <v>30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84</v>
      </c>
      <c r="S772">
        <v>588</v>
      </c>
      <c r="T772">
        <v>0</v>
      </c>
      <c r="V772">
        <v>0</v>
      </c>
      <c r="W772">
        <v>1322</v>
      </c>
    </row>
    <row r="773" spans="1:23" x14ac:dyDescent="0.25">
      <c r="H773">
        <v>400</v>
      </c>
    </row>
    <row r="774" spans="1:23" x14ac:dyDescent="0.25">
      <c r="A774">
        <v>384</v>
      </c>
      <c r="B774">
        <v>687</v>
      </c>
      <c r="C774" t="s">
        <v>1220</v>
      </c>
      <c r="D774" t="s">
        <v>49</v>
      </c>
      <c r="E774" t="s">
        <v>15</v>
      </c>
      <c r="F774" t="s">
        <v>1221</v>
      </c>
      <c r="G774" t="str">
        <f>"00150999"</f>
        <v>00150999</v>
      </c>
      <c r="H774" t="s">
        <v>437</v>
      </c>
      <c r="I774">
        <v>0</v>
      </c>
      <c r="J774">
        <v>30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58</v>
      </c>
      <c r="S774">
        <v>406</v>
      </c>
      <c r="T774">
        <v>0</v>
      </c>
      <c r="V774">
        <v>0</v>
      </c>
      <c r="W774" t="s">
        <v>1222</v>
      </c>
    </row>
    <row r="775" spans="1:23" x14ac:dyDescent="0.25">
      <c r="H775">
        <v>400</v>
      </c>
    </row>
    <row r="776" spans="1:23" x14ac:dyDescent="0.25">
      <c r="A776">
        <v>385</v>
      </c>
      <c r="B776">
        <v>60</v>
      </c>
      <c r="C776" t="s">
        <v>1223</v>
      </c>
      <c r="D776" t="s">
        <v>363</v>
      </c>
      <c r="E776" t="s">
        <v>27</v>
      </c>
      <c r="F776" t="s">
        <v>1224</v>
      </c>
      <c r="G776" t="str">
        <f>"00216405"</f>
        <v>00216405</v>
      </c>
      <c r="H776">
        <v>682</v>
      </c>
      <c r="I776">
        <v>0</v>
      </c>
      <c r="J776">
        <v>50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84</v>
      </c>
      <c r="S776">
        <v>588</v>
      </c>
      <c r="T776">
        <v>0</v>
      </c>
      <c r="V776">
        <v>0</v>
      </c>
      <c r="W776">
        <v>1320</v>
      </c>
    </row>
    <row r="777" spans="1:23" x14ac:dyDescent="0.25">
      <c r="H777">
        <v>400</v>
      </c>
    </row>
    <row r="778" spans="1:23" x14ac:dyDescent="0.25">
      <c r="A778">
        <v>386</v>
      </c>
      <c r="B778">
        <v>10</v>
      </c>
      <c r="C778" t="s">
        <v>1225</v>
      </c>
      <c r="D778" t="s">
        <v>738</v>
      </c>
      <c r="E778" t="s">
        <v>209</v>
      </c>
      <c r="F778" t="s">
        <v>1226</v>
      </c>
      <c r="G778" t="str">
        <f>"00217906"</f>
        <v>00217906</v>
      </c>
      <c r="H778">
        <v>660</v>
      </c>
      <c r="I778">
        <v>0</v>
      </c>
      <c r="J778">
        <v>70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84</v>
      </c>
      <c r="S778">
        <v>588</v>
      </c>
      <c r="T778">
        <v>0</v>
      </c>
      <c r="V778">
        <v>0</v>
      </c>
      <c r="W778">
        <v>1318</v>
      </c>
    </row>
    <row r="779" spans="1:23" x14ac:dyDescent="0.25">
      <c r="H779">
        <v>400</v>
      </c>
    </row>
    <row r="780" spans="1:23" x14ac:dyDescent="0.25">
      <c r="A780">
        <v>387</v>
      </c>
      <c r="B780">
        <v>1315</v>
      </c>
      <c r="C780" t="s">
        <v>1227</v>
      </c>
      <c r="D780" t="s">
        <v>71</v>
      </c>
      <c r="E780" t="s">
        <v>21</v>
      </c>
      <c r="F780" t="s">
        <v>1228</v>
      </c>
      <c r="G780" t="str">
        <f>"201402011263"</f>
        <v>201402011263</v>
      </c>
      <c r="H780" t="s">
        <v>235</v>
      </c>
      <c r="I780">
        <v>0</v>
      </c>
      <c r="J780">
        <v>70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36</v>
      </c>
      <c r="S780">
        <v>252</v>
      </c>
      <c r="T780">
        <v>0</v>
      </c>
      <c r="V780">
        <v>0</v>
      </c>
      <c r="W780" t="s">
        <v>1229</v>
      </c>
    </row>
    <row r="781" spans="1:23" x14ac:dyDescent="0.25">
      <c r="H781">
        <v>400</v>
      </c>
    </row>
    <row r="782" spans="1:23" x14ac:dyDescent="0.25">
      <c r="A782">
        <v>388</v>
      </c>
      <c r="B782">
        <v>1432</v>
      </c>
      <c r="C782" t="s">
        <v>1230</v>
      </c>
      <c r="D782" t="s">
        <v>74</v>
      </c>
      <c r="E782" t="s">
        <v>476</v>
      </c>
      <c r="F782" t="s">
        <v>1231</v>
      </c>
      <c r="G782" t="str">
        <f>"00056907"</f>
        <v>00056907</v>
      </c>
      <c r="H782" t="s">
        <v>472</v>
      </c>
      <c r="I782">
        <v>0</v>
      </c>
      <c r="J782">
        <v>50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56</v>
      </c>
      <c r="S782">
        <v>392</v>
      </c>
      <c r="T782">
        <v>0</v>
      </c>
      <c r="V782">
        <v>2</v>
      </c>
      <c r="W782" t="s">
        <v>1232</v>
      </c>
    </row>
    <row r="783" spans="1:23" x14ac:dyDescent="0.25">
      <c r="H783">
        <v>400</v>
      </c>
    </row>
    <row r="784" spans="1:23" x14ac:dyDescent="0.25">
      <c r="A784">
        <v>389</v>
      </c>
      <c r="B784">
        <v>272</v>
      </c>
      <c r="C784" t="s">
        <v>1233</v>
      </c>
      <c r="D784" t="s">
        <v>192</v>
      </c>
      <c r="E784" t="s">
        <v>1234</v>
      </c>
      <c r="F784" t="s">
        <v>1235</v>
      </c>
      <c r="G784" t="str">
        <f>"00210551"</f>
        <v>00210551</v>
      </c>
      <c r="H784" t="s">
        <v>1236</v>
      </c>
      <c r="I784">
        <v>0</v>
      </c>
      <c r="J784">
        <v>30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84</v>
      </c>
      <c r="S784">
        <v>588</v>
      </c>
      <c r="T784">
        <v>0</v>
      </c>
      <c r="V784">
        <v>0</v>
      </c>
      <c r="W784" t="s">
        <v>1232</v>
      </c>
    </row>
    <row r="785" spans="1:23" x14ac:dyDescent="0.25">
      <c r="H785">
        <v>400</v>
      </c>
    </row>
    <row r="786" spans="1:23" x14ac:dyDescent="0.25">
      <c r="A786">
        <v>390</v>
      </c>
      <c r="B786">
        <v>1431</v>
      </c>
      <c r="C786" t="s">
        <v>1237</v>
      </c>
      <c r="D786" t="s">
        <v>552</v>
      </c>
      <c r="E786" t="s">
        <v>49</v>
      </c>
      <c r="F786" t="s">
        <v>1238</v>
      </c>
      <c r="G786" t="str">
        <f>"00171686"</f>
        <v>00171686</v>
      </c>
      <c r="H786">
        <v>1001</v>
      </c>
      <c r="I786">
        <v>0</v>
      </c>
      <c r="J786">
        <v>70</v>
      </c>
      <c r="K786">
        <v>70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25</v>
      </c>
      <c r="S786">
        <v>175</v>
      </c>
      <c r="T786">
        <v>0</v>
      </c>
      <c r="V786">
        <v>2</v>
      </c>
      <c r="W786">
        <v>1316</v>
      </c>
    </row>
    <row r="787" spans="1:23" x14ac:dyDescent="0.25">
      <c r="H787">
        <v>400</v>
      </c>
    </row>
    <row r="788" spans="1:23" x14ac:dyDescent="0.25">
      <c r="A788">
        <v>391</v>
      </c>
      <c r="B788">
        <v>805</v>
      </c>
      <c r="C788" t="s">
        <v>1239</v>
      </c>
      <c r="D788" t="s">
        <v>1240</v>
      </c>
      <c r="E788" t="s">
        <v>1241</v>
      </c>
      <c r="F788" t="s">
        <v>1242</v>
      </c>
      <c r="G788" t="str">
        <f>"201404000028"</f>
        <v>201404000028</v>
      </c>
      <c r="H788">
        <v>968</v>
      </c>
      <c r="I788">
        <v>150</v>
      </c>
      <c r="J788">
        <v>30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24</v>
      </c>
      <c r="S788">
        <v>168</v>
      </c>
      <c r="T788">
        <v>0</v>
      </c>
      <c r="V788">
        <v>1</v>
      </c>
      <c r="W788">
        <v>1316</v>
      </c>
    </row>
    <row r="789" spans="1:23" x14ac:dyDescent="0.25">
      <c r="H789">
        <v>400</v>
      </c>
    </row>
    <row r="790" spans="1:23" x14ac:dyDescent="0.25">
      <c r="A790">
        <v>392</v>
      </c>
      <c r="B790">
        <v>1336</v>
      </c>
      <c r="C790" t="s">
        <v>1243</v>
      </c>
      <c r="D790" t="s">
        <v>49</v>
      </c>
      <c r="E790" t="s">
        <v>408</v>
      </c>
      <c r="F790" t="s">
        <v>1244</v>
      </c>
      <c r="G790" t="str">
        <f>"00217824"</f>
        <v>00217824</v>
      </c>
      <c r="H790">
        <v>880</v>
      </c>
      <c r="I790">
        <v>0</v>
      </c>
      <c r="J790">
        <v>70</v>
      </c>
      <c r="K790">
        <v>0</v>
      </c>
      <c r="L790">
        <v>30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48</v>
      </c>
      <c r="S790">
        <v>336</v>
      </c>
      <c r="T790">
        <v>0</v>
      </c>
      <c r="V790">
        <v>2</v>
      </c>
      <c r="W790">
        <v>1316</v>
      </c>
    </row>
    <row r="791" spans="1:23" x14ac:dyDescent="0.25">
      <c r="H791">
        <v>400</v>
      </c>
    </row>
    <row r="792" spans="1:23" x14ac:dyDescent="0.25">
      <c r="A792">
        <v>393</v>
      </c>
      <c r="B792">
        <v>904</v>
      </c>
      <c r="C792" t="s">
        <v>1245</v>
      </c>
      <c r="D792" t="s">
        <v>1246</v>
      </c>
      <c r="E792" t="s">
        <v>71</v>
      </c>
      <c r="F792" t="s">
        <v>1247</v>
      </c>
      <c r="G792" t="str">
        <f>"200804001017"</f>
        <v>200804001017</v>
      </c>
      <c r="H792" t="s">
        <v>1248</v>
      </c>
      <c r="I792">
        <v>0</v>
      </c>
      <c r="J792">
        <v>30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75</v>
      </c>
      <c r="S792">
        <v>525</v>
      </c>
      <c r="T792">
        <v>0</v>
      </c>
      <c r="V792">
        <v>0</v>
      </c>
      <c r="W792" t="s">
        <v>1249</v>
      </c>
    </row>
    <row r="793" spans="1:23" x14ac:dyDescent="0.25">
      <c r="H793">
        <v>400</v>
      </c>
    </row>
    <row r="794" spans="1:23" x14ac:dyDescent="0.25">
      <c r="A794">
        <v>394</v>
      </c>
      <c r="B794">
        <v>415</v>
      </c>
      <c r="C794" t="s">
        <v>1250</v>
      </c>
      <c r="D794" t="s">
        <v>1251</v>
      </c>
      <c r="E794" t="s">
        <v>1252</v>
      </c>
      <c r="F794" t="s">
        <v>1253</v>
      </c>
      <c r="G794" t="str">
        <f>"00213495"</f>
        <v>00213495</v>
      </c>
      <c r="H794" t="s">
        <v>226</v>
      </c>
      <c r="I794">
        <v>150</v>
      </c>
      <c r="J794">
        <v>70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22</v>
      </c>
      <c r="S794">
        <v>154</v>
      </c>
      <c r="T794">
        <v>0</v>
      </c>
      <c r="V794">
        <v>0</v>
      </c>
      <c r="W794" t="s">
        <v>1254</v>
      </c>
    </row>
    <row r="795" spans="1:23" x14ac:dyDescent="0.25">
      <c r="H795">
        <v>400</v>
      </c>
    </row>
    <row r="796" spans="1:23" x14ac:dyDescent="0.25">
      <c r="A796">
        <v>395</v>
      </c>
      <c r="B796">
        <v>1464</v>
      </c>
      <c r="C796" t="s">
        <v>629</v>
      </c>
      <c r="D796" t="s">
        <v>251</v>
      </c>
      <c r="E796" t="s">
        <v>15</v>
      </c>
      <c r="F796" t="s">
        <v>1255</v>
      </c>
      <c r="G796" t="str">
        <f>"201406001233"</f>
        <v>201406001233</v>
      </c>
      <c r="H796" t="s">
        <v>437</v>
      </c>
      <c r="I796">
        <v>150</v>
      </c>
      <c r="J796">
        <v>30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35</v>
      </c>
      <c r="S796">
        <v>245</v>
      </c>
      <c r="T796">
        <v>0</v>
      </c>
      <c r="V796">
        <v>0</v>
      </c>
      <c r="W796" t="s">
        <v>1256</v>
      </c>
    </row>
    <row r="797" spans="1:23" x14ac:dyDescent="0.25">
      <c r="H797">
        <v>400</v>
      </c>
    </row>
    <row r="798" spans="1:23" x14ac:dyDescent="0.25">
      <c r="A798">
        <v>396</v>
      </c>
      <c r="B798">
        <v>532</v>
      </c>
      <c r="C798" t="s">
        <v>1257</v>
      </c>
      <c r="D798" t="s">
        <v>1258</v>
      </c>
      <c r="E798" t="s">
        <v>1259</v>
      </c>
      <c r="F798" t="s">
        <v>1260</v>
      </c>
      <c r="G798" t="str">
        <f>"00151893"</f>
        <v>00151893</v>
      </c>
      <c r="H798">
        <v>660</v>
      </c>
      <c r="I798">
        <v>150</v>
      </c>
      <c r="J798">
        <v>30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67</v>
      </c>
      <c r="S798">
        <v>469</v>
      </c>
      <c r="T798">
        <v>0</v>
      </c>
      <c r="V798">
        <v>0</v>
      </c>
      <c r="W798">
        <v>1309</v>
      </c>
    </row>
    <row r="799" spans="1:23" x14ac:dyDescent="0.25">
      <c r="H799">
        <v>400</v>
      </c>
    </row>
    <row r="800" spans="1:23" x14ac:dyDescent="0.25">
      <c r="A800">
        <v>397</v>
      </c>
      <c r="B800">
        <v>293</v>
      </c>
      <c r="C800" t="s">
        <v>1261</v>
      </c>
      <c r="D800" t="s">
        <v>1262</v>
      </c>
      <c r="E800" t="s">
        <v>27</v>
      </c>
      <c r="F800" t="s">
        <v>1263</v>
      </c>
      <c r="G800" t="str">
        <f>"00214683"</f>
        <v>00214683</v>
      </c>
      <c r="H800">
        <v>880</v>
      </c>
      <c r="I800">
        <v>0</v>
      </c>
      <c r="J800">
        <v>70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51</v>
      </c>
      <c r="S800">
        <v>357</v>
      </c>
      <c r="T800">
        <v>0</v>
      </c>
      <c r="V800">
        <v>0</v>
      </c>
      <c r="W800">
        <v>1307</v>
      </c>
    </row>
    <row r="801" spans="1:23" x14ac:dyDescent="0.25">
      <c r="H801">
        <v>400</v>
      </c>
    </row>
    <row r="802" spans="1:23" x14ac:dyDescent="0.25">
      <c r="A802">
        <v>398</v>
      </c>
      <c r="B802">
        <v>601</v>
      </c>
      <c r="C802" t="s">
        <v>1264</v>
      </c>
      <c r="D802" t="s">
        <v>363</v>
      </c>
      <c r="E802" t="s">
        <v>523</v>
      </c>
      <c r="F802" t="s">
        <v>1265</v>
      </c>
      <c r="G802" t="str">
        <f>"201405000502"</f>
        <v>201405000502</v>
      </c>
      <c r="H802" t="s">
        <v>437</v>
      </c>
      <c r="I802">
        <v>0</v>
      </c>
      <c r="J802">
        <v>70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50</v>
      </c>
      <c r="S802">
        <v>350</v>
      </c>
      <c r="T802">
        <v>0</v>
      </c>
      <c r="V802">
        <v>0</v>
      </c>
      <c r="W802" t="s">
        <v>1266</v>
      </c>
    </row>
    <row r="803" spans="1:23" x14ac:dyDescent="0.25">
      <c r="H803">
        <v>400</v>
      </c>
    </row>
    <row r="804" spans="1:23" x14ac:dyDescent="0.25">
      <c r="A804">
        <v>399</v>
      </c>
      <c r="B804">
        <v>759</v>
      </c>
      <c r="C804" t="s">
        <v>1267</v>
      </c>
      <c r="D804" t="s">
        <v>263</v>
      </c>
      <c r="E804" t="s">
        <v>906</v>
      </c>
      <c r="F804" t="s">
        <v>1268</v>
      </c>
      <c r="G804" t="str">
        <f>"201604000458"</f>
        <v>201604000458</v>
      </c>
      <c r="H804">
        <v>770</v>
      </c>
      <c r="I804">
        <v>0</v>
      </c>
      <c r="J804">
        <v>30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72</v>
      </c>
      <c r="S804">
        <v>504</v>
      </c>
      <c r="T804">
        <v>0</v>
      </c>
      <c r="V804">
        <v>1</v>
      </c>
      <c r="W804">
        <v>1304</v>
      </c>
    </row>
    <row r="805" spans="1:23" x14ac:dyDescent="0.25">
      <c r="H805">
        <v>400</v>
      </c>
    </row>
    <row r="806" spans="1:23" x14ac:dyDescent="0.25">
      <c r="A806">
        <v>400</v>
      </c>
      <c r="B806">
        <v>1769</v>
      </c>
      <c r="C806" t="s">
        <v>1269</v>
      </c>
      <c r="D806" t="s">
        <v>187</v>
      </c>
      <c r="E806" t="s">
        <v>272</v>
      </c>
      <c r="F806" t="s">
        <v>1270</v>
      </c>
      <c r="G806" t="str">
        <f>"201304002679"</f>
        <v>201304002679</v>
      </c>
      <c r="H806" t="s">
        <v>285</v>
      </c>
      <c r="I806">
        <v>150</v>
      </c>
      <c r="J806">
        <v>70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22</v>
      </c>
      <c r="S806">
        <v>154</v>
      </c>
      <c r="T806">
        <v>0</v>
      </c>
      <c r="V806">
        <v>0</v>
      </c>
      <c r="W806" t="s">
        <v>1271</v>
      </c>
    </row>
    <row r="807" spans="1:23" x14ac:dyDescent="0.25">
      <c r="H807" t="s">
        <v>76</v>
      </c>
    </row>
    <row r="808" spans="1:23" x14ac:dyDescent="0.25">
      <c r="A808">
        <v>401</v>
      </c>
      <c r="B808">
        <v>628</v>
      </c>
      <c r="C808" t="s">
        <v>1272</v>
      </c>
      <c r="D808" t="s">
        <v>212</v>
      </c>
      <c r="E808" t="s">
        <v>714</v>
      </c>
      <c r="F808" t="s">
        <v>1273</v>
      </c>
      <c r="G808" t="str">
        <f>"201406005352"</f>
        <v>201406005352</v>
      </c>
      <c r="H808" t="s">
        <v>437</v>
      </c>
      <c r="I808">
        <v>150</v>
      </c>
      <c r="J808">
        <v>30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34</v>
      </c>
      <c r="S808">
        <v>238</v>
      </c>
      <c r="T808">
        <v>0</v>
      </c>
      <c r="V808">
        <v>0</v>
      </c>
      <c r="W808" t="s">
        <v>1271</v>
      </c>
    </row>
    <row r="809" spans="1:23" x14ac:dyDescent="0.25">
      <c r="H809">
        <v>400</v>
      </c>
    </row>
    <row r="810" spans="1:23" x14ac:dyDescent="0.25">
      <c r="A810">
        <v>402</v>
      </c>
      <c r="B810">
        <v>1815</v>
      </c>
      <c r="C810" t="s">
        <v>1274</v>
      </c>
      <c r="D810" t="s">
        <v>408</v>
      </c>
      <c r="E810" t="s">
        <v>27</v>
      </c>
      <c r="F810" t="s">
        <v>1275</v>
      </c>
      <c r="G810" t="str">
        <f>"00191326"</f>
        <v>00191326</v>
      </c>
      <c r="H810">
        <v>1001</v>
      </c>
      <c r="I810">
        <v>0</v>
      </c>
      <c r="J810">
        <v>70</v>
      </c>
      <c r="K810">
        <v>0</v>
      </c>
      <c r="L810">
        <v>50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26</v>
      </c>
      <c r="S810">
        <v>182</v>
      </c>
      <c r="T810">
        <v>0</v>
      </c>
      <c r="V810">
        <v>2</v>
      </c>
      <c r="W810">
        <v>1303</v>
      </c>
    </row>
    <row r="811" spans="1:23" x14ac:dyDescent="0.25">
      <c r="H811">
        <v>400</v>
      </c>
    </row>
    <row r="812" spans="1:23" x14ac:dyDescent="0.25">
      <c r="A812">
        <v>403</v>
      </c>
      <c r="B812">
        <v>512</v>
      </c>
      <c r="C812" t="s">
        <v>1276</v>
      </c>
      <c r="D812" t="s">
        <v>59</v>
      </c>
      <c r="E812" t="s">
        <v>49</v>
      </c>
      <c r="F812" t="s">
        <v>1277</v>
      </c>
      <c r="G812" t="str">
        <f>"200801001559"</f>
        <v>200801001559</v>
      </c>
      <c r="H812">
        <v>825</v>
      </c>
      <c r="I812">
        <v>0</v>
      </c>
      <c r="J812">
        <v>30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64</v>
      </c>
      <c r="S812">
        <v>448</v>
      </c>
      <c r="T812">
        <v>0</v>
      </c>
      <c r="V812">
        <v>0</v>
      </c>
      <c r="W812">
        <v>1303</v>
      </c>
    </row>
    <row r="813" spans="1:23" x14ac:dyDescent="0.25">
      <c r="H813">
        <v>400</v>
      </c>
    </row>
    <row r="814" spans="1:23" x14ac:dyDescent="0.25">
      <c r="A814">
        <v>404</v>
      </c>
      <c r="B814">
        <v>516</v>
      </c>
      <c r="C814" t="s">
        <v>1278</v>
      </c>
      <c r="D814" t="s">
        <v>180</v>
      </c>
      <c r="E814" t="s">
        <v>49</v>
      </c>
      <c r="F814" t="s">
        <v>1279</v>
      </c>
      <c r="G814" t="str">
        <f>"00214523"</f>
        <v>00214523</v>
      </c>
      <c r="H814" t="s">
        <v>41</v>
      </c>
      <c r="I814">
        <v>0</v>
      </c>
      <c r="J814">
        <v>30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38</v>
      </c>
      <c r="S814">
        <v>266</v>
      </c>
      <c r="T814">
        <v>0</v>
      </c>
      <c r="V814">
        <v>0</v>
      </c>
      <c r="W814" t="s">
        <v>1280</v>
      </c>
    </row>
    <row r="815" spans="1:23" x14ac:dyDescent="0.25">
      <c r="H815">
        <v>400</v>
      </c>
    </row>
    <row r="816" spans="1:23" x14ac:dyDescent="0.25">
      <c r="A816">
        <v>405</v>
      </c>
      <c r="B816">
        <v>1139</v>
      </c>
      <c r="C816" t="s">
        <v>1281</v>
      </c>
      <c r="D816" t="s">
        <v>610</v>
      </c>
      <c r="E816" t="s">
        <v>1282</v>
      </c>
      <c r="F816" t="s">
        <v>1283</v>
      </c>
      <c r="G816" t="str">
        <f>"201604003473"</f>
        <v>201604003473</v>
      </c>
      <c r="H816" t="s">
        <v>356</v>
      </c>
      <c r="I816">
        <v>150</v>
      </c>
      <c r="J816">
        <v>30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48</v>
      </c>
      <c r="S816">
        <v>336</v>
      </c>
      <c r="T816">
        <v>0</v>
      </c>
      <c r="V816">
        <v>0</v>
      </c>
      <c r="W816" t="s">
        <v>1280</v>
      </c>
    </row>
    <row r="817" spans="1:23" x14ac:dyDescent="0.25">
      <c r="H817">
        <v>400</v>
      </c>
    </row>
    <row r="818" spans="1:23" x14ac:dyDescent="0.25">
      <c r="A818">
        <v>406</v>
      </c>
      <c r="B818">
        <v>606</v>
      </c>
      <c r="C818" t="s">
        <v>1284</v>
      </c>
      <c r="D818" t="s">
        <v>1285</v>
      </c>
      <c r="E818" t="s">
        <v>27</v>
      </c>
      <c r="F818" t="s">
        <v>1286</v>
      </c>
      <c r="G818" t="str">
        <f>"200809000561"</f>
        <v>200809000561</v>
      </c>
      <c r="H818" t="s">
        <v>1236</v>
      </c>
      <c r="I818">
        <v>0</v>
      </c>
      <c r="J818">
        <v>30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82</v>
      </c>
      <c r="S818">
        <v>574</v>
      </c>
      <c r="T818">
        <v>0</v>
      </c>
      <c r="V818">
        <v>0</v>
      </c>
      <c r="W818" t="s">
        <v>1280</v>
      </c>
    </row>
    <row r="819" spans="1:23" x14ac:dyDescent="0.25">
      <c r="H819">
        <v>400</v>
      </c>
    </row>
    <row r="820" spans="1:23" x14ac:dyDescent="0.25">
      <c r="A820">
        <v>407</v>
      </c>
      <c r="B820">
        <v>1120</v>
      </c>
      <c r="C820" t="s">
        <v>1287</v>
      </c>
      <c r="D820" t="s">
        <v>59</v>
      </c>
      <c r="E820" t="s">
        <v>158</v>
      </c>
      <c r="F820" t="s">
        <v>1288</v>
      </c>
      <c r="G820" t="str">
        <f>"00217710"</f>
        <v>00217710</v>
      </c>
      <c r="H820" t="s">
        <v>120</v>
      </c>
      <c r="I820">
        <v>150</v>
      </c>
      <c r="J820">
        <v>50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12</v>
      </c>
      <c r="S820">
        <v>84</v>
      </c>
      <c r="T820">
        <v>0</v>
      </c>
      <c r="V820">
        <v>0</v>
      </c>
      <c r="W820" t="s">
        <v>1289</v>
      </c>
    </row>
    <row r="821" spans="1:23" x14ac:dyDescent="0.25">
      <c r="H821">
        <v>400</v>
      </c>
    </row>
    <row r="822" spans="1:23" x14ac:dyDescent="0.25">
      <c r="A822">
        <v>408</v>
      </c>
      <c r="B822">
        <v>1053</v>
      </c>
      <c r="C822" t="s">
        <v>1290</v>
      </c>
      <c r="D822" t="s">
        <v>1291</v>
      </c>
      <c r="E822" t="s">
        <v>1292</v>
      </c>
      <c r="F822" t="s">
        <v>1293</v>
      </c>
      <c r="G822" t="str">
        <f>"201502002647"</f>
        <v>201502002647</v>
      </c>
      <c r="H822" t="s">
        <v>235</v>
      </c>
      <c r="I822">
        <v>150</v>
      </c>
      <c r="J822">
        <v>30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18</v>
      </c>
      <c r="S822">
        <v>126</v>
      </c>
      <c r="T822">
        <v>0</v>
      </c>
      <c r="V822">
        <v>0</v>
      </c>
      <c r="W822" t="s">
        <v>1289</v>
      </c>
    </row>
    <row r="823" spans="1:23" x14ac:dyDescent="0.25">
      <c r="H823">
        <v>400</v>
      </c>
    </row>
    <row r="824" spans="1:23" x14ac:dyDescent="0.25">
      <c r="A824">
        <v>409</v>
      </c>
      <c r="B824">
        <v>1493</v>
      </c>
      <c r="C824" t="s">
        <v>1294</v>
      </c>
      <c r="D824" t="s">
        <v>343</v>
      </c>
      <c r="E824" t="s">
        <v>1295</v>
      </c>
      <c r="F824" t="s">
        <v>1296</v>
      </c>
      <c r="G824" t="str">
        <f>"201304001782"</f>
        <v>201304001782</v>
      </c>
      <c r="H824">
        <v>957</v>
      </c>
      <c r="I824">
        <v>0</v>
      </c>
      <c r="J824">
        <v>70</v>
      </c>
      <c r="K824">
        <v>50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32</v>
      </c>
      <c r="S824">
        <v>224</v>
      </c>
      <c r="T824">
        <v>0</v>
      </c>
      <c r="V824">
        <v>0</v>
      </c>
      <c r="W824">
        <v>1301</v>
      </c>
    </row>
    <row r="825" spans="1:23" x14ac:dyDescent="0.25">
      <c r="H825">
        <v>400</v>
      </c>
    </row>
    <row r="826" spans="1:23" x14ac:dyDescent="0.25">
      <c r="A826">
        <v>410</v>
      </c>
      <c r="B826">
        <v>278</v>
      </c>
      <c r="C826" t="s">
        <v>501</v>
      </c>
      <c r="D826" t="s">
        <v>1297</v>
      </c>
      <c r="E826" t="s">
        <v>229</v>
      </c>
      <c r="F826" t="s">
        <v>1298</v>
      </c>
      <c r="G826" t="str">
        <f>"201411002057"</f>
        <v>201411002057</v>
      </c>
      <c r="H826" t="s">
        <v>1299</v>
      </c>
      <c r="I826">
        <v>0</v>
      </c>
      <c r="J826">
        <v>70</v>
      </c>
      <c r="K826">
        <v>70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23</v>
      </c>
      <c r="S826">
        <v>161</v>
      </c>
      <c r="T826">
        <v>0</v>
      </c>
      <c r="V826">
        <v>1</v>
      </c>
      <c r="W826" t="s">
        <v>1300</v>
      </c>
    </row>
    <row r="827" spans="1:23" x14ac:dyDescent="0.25">
      <c r="H827">
        <v>400</v>
      </c>
    </row>
    <row r="828" spans="1:23" x14ac:dyDescent="0.25">
      <c r="A828">
        <v>411</v>
      </c>
      <c r="B828">
        <v>1856</v>
      </c>
      <c r="C828" t="s">
        <v>1301</v>
      </c>
      <c r="D828" t="s">
        <v>376</v>
      </c>
      <c r="E828" t="s">
        <v>263</v>
      </c>
      <c r="F828" t="s">
        <v>1302</v>
      </c>
      <c r="G828" t="str">
        <f>"201402006068"</f>
        <v>201402006068</v>
      </c>
      <c r="H828">
        <v>814</v>
      </c>
      <c r="I828">
        <v>150</v>
      </c>
      <c r="J828">
        <v>70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38</v>
      </c>
      <c r="S828">
        <v>266</v>
      </c>
      <c r="T828">
        <v>0</v>
      </c>
      <c r="V828">
        <v>0</v>
      </c>
      <c r="W828">
        <v>1300</v>
      </c>
    </row>
    <row r="829" spans="1:23" x14ac:dyDescent="0.25">
      <c r="H829">
        <v>400</v>
      </c>
    </row>
    <row r="830" spans="1:23" x14ac:dyDescent="0.25">
      <c r="A830">
        <v>412</v>
      </c>
      <c r="B830">
        <v>1415</v>
      </c>
      <c r="C830" t="s">
        <v>1303</v>
      </c>
      <c r="D830" t="s">
        <v>467</v>
      </c>
      <c r="E830" t="s">
        <v>33</v>
      </c>
      <c r="F830" t="s">
        <v>1304</v>
      </c>
      <c r="G830" t="str">
        <f>"00149264"</f>
        <v>00149264</v>
      </c>
      <c r="H830">
        <v>649</v>
      </c>
      <c r="I830">
        <v>150</v>
      </c>
      <c r="J830">
        <v>50</v>
      </c>
      <c r="K830">
        <v>0</v>
      </c>
      <c r="L830">
        <v>30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60</v>
      </c>
      <c r="S830">
        <v>420</v>
      </c>
      <c r="T830">
        <v>0</v>
      </c>
      <c r="V830">
        <v>0</v>
      </c>
      <c r="W830">
        <v>1299</v>
      </c>
    </row>
    <row r="831" spans="1:23" x14ac:dyDescent="0.25">
      <c r="H831" t="s">
        <v>76</v>
      </c>
    </row>
    <row r="832" spans="1:23" x14ac:dyDescent="0.25">
      <c r="A832">
        <v>413</v>
      </c>
      <c r="B832">
        <v>1578</v>
      </c>
      <c r="C832" t="s">
        <v>1305</v>
      </c>
      <c r="D832" t="s">
        <v>1306</v>
      </c>
      <c r="E832" t="s">
        <v>106</v>
      </c>
      <c r="F832" t="s">
        <v>1307</v>
      </c>
      <c r="G832" t="str">
        <f>"201402000207"</f>
        <v>201402000207</v>
      </c>
      <c r="H832">
        <v>946</v>
      </c>
      <c r="I832">
        <v>0</v>
      </c>
      <c r="J832">
        <v>30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46</v>
      </c>
      <c r="S832">
        <v>322</v>
      </c>
      <c r="T832">
        <v>0</v>
      </c>
      <c r="V832">
        <v>0</v>
      </c>
      <c r="W832">
        <v>1298</v>
      </c>
    </row>
    <row r="833" spans="1:23" x14ac:dyDescent="0.25">
      <c r="H833">
        <v>400</v>
      </c>
    </row>
    <row r="834" spans="1:23" x14ac:dyDescent="0.25">
      <c r="A834">
        <v>414</v>
      </c>
      <c r="B834">
        <v>700</v>
      </c>
      <c r="C834" t="s">
        <v>1308</v>
      </c>
      <c r="D834" t="s">
        <v>177</v>
      </c>
      <c r="E834" t="s">
        <v>523</v>
      </c>
      <c r="F834" t="s">
        <v>1309</v>
      </c>
      <c r="G834" t="str">
        <f>"00216204"</f>
        <v>00216204</v>
      </c>
      <c r="H834">
        <v>825</v>
      </c>
      <c r="I834">
        <v>150</v>
      </c>
      <c r="J834">
        <v>70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36</v>
      </c>
      <c r="S834">
        <v>252</v>
      </c>
      <c r="T834">
        <v>0</v>
      </c>
      <c r="V834">
        <v>0</v>
      </c>
      <c r="W834">
        <v>1297</v>
      </c>
    </row>
    <row r="835" spans="1:23" x14ac:dyDescent="0.25">
      <c r="H835">
        <v>400</v>
      </c>
    </row>
    <row r="836" spans="1:23" x14ac:dyDescent="0.25">
      <c r="A836">
        <v>415</v>
      </c>
      <c r="B836">
        <v>989</v>
      </c>
      <c r="C836" t="s">
        <v>1310</v>
      </c>
      <c r="D836" t="s">
        <v>71</v>
      </c>
      <c r="E836" t="s">
        <v>1311</v>
      </c>
      <c r="F836" t="s">
        <v>1312</v>
      </c>
      <c r="G836" t="str">
        <f>"201405000594"</f>
        <v>201405000594</v>
      </c>
      <c r="H836">
        <v>770</v>
      </c>
      <c r="I836">
        <v>0</v>
      </c>
      <c r="J836">
        <v>70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65</v>
      </c>
      <c r="S836">
        <v>455</v>
      </c>
      <c r="T836">
        <v>0</v>
      </c>
      <c r="V836">
        <v>0</v>
      </c>
      <c r="W836">
        <v>1295</v>
      </c>
    </row>
    <row r="837" spans="1:23" x14ac:dyDescent="0.25">
      <c r="H837">
        <v>400</v>
      </c>
    </row>
    <row r="838" spans="1:23" x14ac:dyDescent="0.25">
      <c r="A838">
        <v>416</v>
      </c>
      <c r="B838">
        <v>1354</v>
      </c>
      <c r="C838" t="s">
        <v>1313</v>
      </c>
      <c r="D838" t="s">
        <v>177</v>
      </c>
      <c r="E838" t="s">
        <v>158</v>
      </c>
      <c r="F838" t="s">
        <v>1314</v>
      </c>
      <c r="G838" t="str">
        <f>"00212278"</f>
        <v>00212278</v>
      </c>
      <c r="H838" t="s">
        <v>410</v>
      </c>
      <c r="I838">
        <v>0</v>
      </c>
      <c r="J838">
        <v>30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40</v>
      </c>
      <c r="S838">
        <v>280</v>
      </c>
      <c r="T838">
        <v>0</v>
      </c>
      <c r="V838">
        <v>0</v>
      </c>
      <c r="W838" t="s">
        <v>1315</v>
      </c>
    </row>
    <row r="839" spans="1:23" x14ac:dyDescent="0.25">
      <c r="H839">
        <v>400</v>
      </c>
    </row>
    <row r="840" spans="1:23" x14ac:dyDescent="0.25">
      <c r="A840">
        <v>417</v>
      </c>
      <c r="B840">
        <v>548</v>
      </c>
      <c r="C840" t="s">
        <v>814</v>
      </c>
      <c r="D840" t="s">
        <v>298</v>
      </c>
      <c r="E840" t="s">
        <v>291</v>
      </c>
      <c r="F840" t="s">
        <v>1316</v>
      </c>
      <c r="G840" t="str">
        <f>"00112806"</f>
        <v>00112806</v>
      </c>
      <c r="H840" t="s">
        <v>1317</v>
      </c>
      <c r="I840">
        <v>0</v>
      </c>
      <c r="J840">
        <v>30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76</v>
      </c>
      <c r="S840">
        <v>532</v>
      </c>
      <c r="T840">
        <v>0</v>
      </c>
      <c r="V840">
        <v>0</v>
      </c>
      <c r="W840" t="s">
        <v>1318</v>
      </c>
    </row>
    <row r="841" spans="1:23" x14ac:dyDescent="0.25">
      <c r="H841">
        <v>400</v>
      </c>
    </row>
    <row r="842" spans="1:23" x14ac:dyDescent="0.25">
      <c r="A842">
        <v>418</v>
      </c>
      <c r="B842">
        <v>1621</v>
      </c>
      <c r="C842" t="s">
        <v>1319</v>
      </c>
      <c r="D842" t="s">
        <v>180</v>
      </c>
      <c r="E842" t="s">
        <v>27</v>
      </c>
      <c r="F842" t="s">
        <v>1320</v>
      </c>
      <c r="G842" t="str">
        <f>"201404000103"</f>
        <v>201404000103</v>
      </c>
      <c r="H842">
        <v>990</v>
      </c>
      <c r="I842">
        <v>0</v>
      </c>
      <c r="J842">
        <v>70</v>
      </c>
      <c r="K842">
        <v>0</v>
      </c>
      <c r="L842">
        <v>30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29</v>
      </c>
      <c r="S842">
        <v>203</v>
      </c>
      <c r="T842">
        <v>0</v>
      </c>
      <c r="V842">
        <v>0</v>
      </c>
      <c r="W842">
        <v>1293</v>
      </c>
    </row>
    <row r="843" spans="1:23" x14ac:dyDescent="0.25">
      <c r="H843">
        <v>400</v>
      </c>
    </row>
    <row r="844" spans="1:23" x14ac:dyDescent="0.25">
      <c r="A844">
        <v>419</v>
      </c>
      <c r="B844">
        <v>1879</v>
      </c>
      <c r="C844" t="s">
        <v>1321</v>
      </c>
      <c r="D844" t="s">
        <v>81</v>
      </c>
      <c r="E844" t="s">
        <v>49</v>
      </c>
      <c r="F844" t="s">
        <v>1322</v>
      </c>
      <c r="G844" t="str">
        <f>"00002541"</f>
        <v>00002541</v>
      </c>
      <c r="H844">
        <v>913</v>
      </c>
      <c r="I844">
        <v>0</v>
      </c>
      <c r="J844">
        <v>30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50</v>
      </c>
      <c r="S844">
        <v>350</v>
      </c>
      <c r="T844">
        <v>0</v>
      </c>
      <c r="V844">
        <v>0</v>
      </c>
      <c r="W844">
        <v>1293</v>
      </c>
    </row>
    <row r="845" spans="1:23" x14ac:dyDescent="0.25">
      <c r="H845">
        <v>400</v>
      </c>
    </row>
    <row r="846" spans="1:23" x14ac:dyDescent="0.25">
      <c r="A846">
        <v>420</v>
      </c>
      <c r="B846">
        <v>1312</v>
      </c>
      <c r="C846" t="s">
        <v>1323</v>
      </c>
      <c r="D846" t="s">
        <v>177</v>
      </c>
      <c r="E846" t="s">
        <v>209</v>
      </c>
      <c r="F846" t="s">
        <v>1324</v>
      </c>
      <c r="G846" t="str">
        <f>"00209348"</f>
        <v>00209348</v>
      </c>
      <c r="H846" t="s">
        <v>868</v>
      </c>
      <c r="I846">
        <v>0</v>
      </c>
      <c r="J846">
        <v>70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59</v>
      </c>
      <c r="S846">
        <v>413</v>
      </c>
      <c r="T846">
        <v>0</v>
      </c>
      <c r="V846">
        <v>0</v>
      </c>
      <c r="W846" t="s">
        <v>1325</v>
      </c>
    </row>
    <row r="847" spans="1:23" x14ac:dyDescent="0.25">
      <c r="H847">
        <v>400</v>
      </c>
    </row>
    <row r="848" spans="1:23" x14ac:dyDescent="0.25">
      <c r="A848">
        <v>421</v>
      </c>
      <c r="B848">
        <v>994</v>
      </c>
      <c r="C848" t="s">
        <v>1326</v>
      </c>
      <c r="D848" t="s">
        <v>1327</v>
      </c>
      <c r="E848" t="s">
        <v>59</v>
      </c>
      <c r="F848" t="s">
        <v>1328</v>
      </c>
      <c r="G848" t="str">
        <f>"00155420"</f>
        <v>00155420</v>
      </c>
      <c r="H848">
        <v>847</v>
      </c>
      <c r="I848">
        <v>0</v>
      </c>
      <c r="J848">
        <v>30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59</v>
      </c>
      <c r="S848">
        <v>413</v>
      </c>
      <c r="T848">
        <v>0</v>
      </c>
      <c r="V848">
        <v>0</v>
      </c>
      <c r="W848">
        <v>1290</v>
      </c>
    </row>
    <row r="849" spans="1:23" x14ac:dyDescent="0.25">
      <c r="H849">
        <v>400</v>
      </c>
    </row>
    <row r="850" spans="1:23" x14ac:dyDescent="0.25">
      <c r="A850">
        <v>422</v>
      </c>
      <c r="B850">
        <v>733</v>
      </c>
      <c r="C850" t="s">
        <v>1329</v>
      </c>
      <c r="D850" t="s">
        <v>187</v>
      </c>
      <c r="E850" t="s">
        <v>27</v>
      </c>
      <c r="F850" t="s">
        <v>1330</v>
      </c>
      <c r="G850" t="str">
        <f>"200905000351"</f>
        <v>200905000351</v>
      </c>
      <c r="H850">
        <v>1034</v>
      </c>
      <c r="I850">
        <v>0</v>
      </c>
      <c r="J850">
        <v>30</v>
      </c>
      <c r="K850">
        <v>0</v>
      </c>
      <c r="L850">
        <v>50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25</v>
      </c>
      <c r="S850">
        <v>175</v>
      </c>
      <c r="T850">
        <v>0</v>
      </c>
      <c r="V850">
        <v>0</v>
      </c>
      <c r="W850">
        <v>1289</v>
      </c>
    </row>
    <row r="851" spans="1:23" x14ac:dyDescent="0.25">
      <c r="H851">
        <v>400</v>
      </c>
    </row>
    <row r="852" spans="1:23" x14ac:dyDescent="0.25">
      <c r="A852">
        <v>423</v>
      </c>
      <c r="B852">
        <v>1860</v>
      </c>
      <c r="C852" t="s">
        <v>1331</v>
      </c>
      <c r="D852" t="s">
        <v>111</v>
      </c>
      <c r="E852" t="s">
        <v>291</v>
      </c>
      <c r="F852" t="s">
        <v>1332</v>
      </c>
      <c r="G852" t="str">
        <f>"201402006049"</f>
        <v>201402006049</v>
      </c>
      <c r="H852">
        <v>671</v>
      </c>
      <c r="I852">
        <v>0</v>
      </c>
      <c r="J852">
        <v>30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84</v>
      </c>
      <c r="S852">
        <v>588</v>
      </c>
      <c r="T852">
        <v>0</v>
      </c>
      <c r="V852">
        <v>0</v>
      </c>
      <c r="W852">
        <v>1289</v>
      </c>
    </row>
    <row r="853" spans="1:23" x14ac:dyDescent="0.25">
      <c r="H853">
        <v>400</v>
      </c>
    </row>
    <row r="854" spans="1:23" x14ac:dyDescent="0.25">
      <c r="A854">
        <v>424</v>
      </c>
      <c r="B854">
        <v>124</v>
      </c>
      <c r="C854" t="s">
        <v>1333</v>
      </c>
      <c r="D854" t="s">
        <v>404</v>
      </c>
      <c r="E854" t="s">
        <v>476</v>
      </c>
      <c r="F854" t="s">
        <v>1334</v>
      </c>
      <c r="G854" t="str">
        <f>"00129989"</f>
        <v>00129989</v>
      </c>
      <c r="H854" t="s">
        <v>1335</v>
      </c>
      <c r="I854">
        <v>150</v>
      </c>
      <c r="J854">
        <v>70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2</v>
      </c>
      <c r="S854">
        <v>14</v>
      </c>
      <c r="T854">
        <v>0</v>
      </c>
      <c r="V854">
        <v>0</v>
      </c>
      <c r="W854" t="s">
        <v>1336</v>
      </c>
    </row>
    <row r="855" spans="1:23" x14ac:dyDescent="0.25">
      <c r="H855">
        <v>400</v>
      </c>
    </row>
    <row r="856" spans="1:23" x14ac:dyDescent="0.25">
      <c r="A856">
        <v>425</v>
      </c>
      <c r="B856">
        <v>73</v>
      </c>
      <c r="C856" t="s">
        <v>1337</v>
      </c>
      <c r="D856" t="s">
        <v>1338</v>
      </c>
      <c r="E856" t="s">
        <v>942</v>
      </c>
      <c r="F856" t="s">
        <v>1339</v>
      </c>
      <c r="G856" t="str">
        <f>"201502003304"</f>
        <v>201502003304</v>
      </c>
      <c r="H856" t="s">
        <v>437</v>
      </c>
      <c r="I856">
        <v>150</v>
      </c>
      <c r="J856">
        <v>50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29</v>
      </c>
      <c r="S856">
        <v>203</v>
      </c>
      <c r="T856">
        <v>0</v>
      </c>
      <c r="V856">
        <v>1</v>
      </c>
      <c r="W856" t="s">
        <v>1340</v>
      </c>
    </row>
    <row r="857" spans="1:23" x14ac:dyDescent="0.25">
      <c r="H857">
        <v>400</v>
      </c>
    </row>
    <row r="858" spans="1:23" x14ac:dyDescent="0.25">
      <c r="A858">
        <v>426</v>
      </c>
      <c r="B858">
        <v>312</v>
      </c>
      <c r="C858" t="s">
        <v>1341</v>
      </c>
      <c r="D858" t="s">
        <v>177</v>
      </c>
      <c r="E858" t="s">
        <v>462</v>
      </c>
      <c r="F858" t="s">
        <v>1342</v>
      </c>
      <c r="G858" t="str">
        <f>"00217678"</f>
        <v>00217678</v>
      </c>
      <c r="H858" t="s">
        <v>868</v>
      </c>
      <c r="I858">
        <v>150</v>
      </c>
      <c r="J858">
        <v>70</v>
      </c>
      <c r="K858">
        <v>0</v>
      </c>
      <c r="L858">
        <v>0</v>
      </c>
      <c r="M858">
        <v>50</v>
      </c>
      <c r="N858">
        <v>0</v>
      </c>
      <c r="O858">
        <v>0</v>
      </c>
      <c r="P858">
        <v>0</v>
      </c>
      <c r="Q858">
        <v>0</v>
      </c>
      <c r="R858">
        <v>30</v>
      </c>
      <c r="S858">
        <v>210</v>
      </c>
      <c r="T858">
        <v>0</v>
      </c>
      <c r="V858">
        <v>0</v>
      </c>
      <c r="W858" t="s">
        <v>1340</v>
      </c>
    </row>
    <row r="859" spans="1:23" x14ac:dyDescent="0.25">
      <c r="H859">
        <v>400</v>
      </c>
    </row>
    <row r="860" spans="1:23" x14ac:dyDescent="0.25">
      <c r="A860">
        <v>427</v>
      </c>
      <c r="B860">
        <v>731</v>
      </c>
      <c r="C860" t="s">
        <v>1343</v>
      </c>
      <c r="D860" t="s">
        <v>209</v>
      </c>
      <c r="E860" t="s">
        <v>49</v>
      </c>
      <c r="F860" t="s">
        <v>1344</v>
      </c>
      <c r="G860" t="str">
        <f>"00214587"</f>
        <v>00214587</v>
      </c>
      <c r="H860">
        <v>649</v>
      </c>
      <c r="I860">
        <v>0</v>
      </c>
      <c r="J860">
        <v>50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84</v>
      </c>
      <c r="S860">
        <v>588</v>
      </c>
      <c r="T860">
        <v>0</v>
      </c>
      <c r="V860">
        <v>0</v>
      </c>
      <c r="W860">
        <v>1287</v>
      </c>
    </row>
    <row r="861" spans="1:23" x14ac:dyDescent="0.25">
      <c r="H861">
        <v>400</v>
      </c>
    </row>
    <row r="862" spans="1:23" x14ac:dyDescent="0.25">
      <c r="A862">
        <v>428</v>
      </c>
      <c r="B862">
        <v>918</v>
      </c>
      <c r="C862" t="s">
        <v>1345</v>
      </c>
      <c r="D862" t="s">
        <v>408</v>
      </c>
      <c r="E862" t="s">
        <v>27</v>
      </c>
      <c r="F862" t="s">
        <v>1346</v>
      </c>
      <c r="G862" t="str">
        <f>"00147998"</f>
        <v>00147998</v>
      </c>
      <c r="H862" t="s">
        <v>194</v>
      </c>
      <c r="I862">
        <v>0</v>
      </c>
      <c r="J862">
        <v>30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42</v>
      </c>
      <c r="S862">
        <v>294</v>
      </c>
      <c r="T862">
        <v>0</v>
      </c>
      <c r="V862">
        <v>0</v>
      </c>
      <c r="W862" t="s">
        <v>1347</v>
      </c>
    </row>
    <row r="863" spans="1:23" x14ac:dyDescent="0.25">
      <c r="H863">
        <v>400</v>
      </c>
    </row>
    <row r="864" spans="1:23" x14ac:dyDescent="0.25">
      <c r="A864">
        <v>429</v>
      </c>
      <c r="B864">
        <v>967</v>
      </c>
      <c r="C864" t="s">
        <v>1348</v>
      </c>
      <c r="D864" t="s">
        <v>408</v>
      </c>
      <c r="E864" t="s">
        <v>39</v>
      </c>
      <c r="F864" t="s">
        <v>1349</v>
      </c>
      <c r="G864" t="str">
        <f>"200802010828"</f>
        <v>200802010828</v>
      </c>
      <c r="H864">
        <v>990</v>
      </c>
      <c r="I864">
        <v>0</v>
      </c>
      <c r="J864">
        <v>30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38</v>
      </c>
      <c r="S864">
        <v>266</v>
      </c>
      <c r="T864">
        <v>0</v>
      </c>
      <c r="V864">
        <v>0</v>
      </c>
      <c r="W864">
        <v>1286</v>
      </c>
    </row>
    <row r="865" spans="1:23" x14ac:dyDescent="0.25">
      <c r="H865">
        <v>400</v>
      </c>
    </row>
    <row r="866" spans="1:23" x14ac:dyDescent="0.25">
      <c r="A866">
        <v>430</v>
      </c>
      <c r="B866">
        <v>351</v>
      </c>
      <c r="C866" t="s">
        <v>272</v>
      </c>
      <c r="D866" t="s">
        <v>15</v>
      </c>
      <c r="E866" t="s">
        <v>71</v>
      </c>
      <c r="F866" t="s">
        <v>1350</v>
      </c>
      <c r="G866" t="str">
        <f>"00215445"</f>
        <v>00215445</v>
      </c>
      <c r="H866" t="s">
        <v>356</v>
      </c>
      <c r="I866">
        <v>0</v>
      </c>
      <c r="J866">
        <v>30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67</v>
      </c>
      <c r="S866">
        <v>469</v>
      </c>
      <c r="T866">
        <v>0</v>
      </c>
      <c r="V866">
        <v>0</v>
      </c>
      <c r="W866" t="s">
        <v>1351</v>
      </c>
    </row>
    <row r="867" spans="1:23" x14ac:dyDescent="0.25">
      <c r="H867">
        <v>400</v>
      </c>
    </row>
    <row r="868" spans="1:23" x14ac:dyDescent="0.25">
      <c r="A868">
        <v>431</v>
      </c>
      <c r="B868">
        <v>635</v>
      </c>
      <c r="C868" t="s">
        <v>1352</v>
      </c>
      <c r="D868" t="s">
        <v>137</v>
      </c>
      <c r="E868" t="s">
        <v>49</v>
      </c>
      <c r="F868" t="s">
        <v>1353</v>
      </c>
      <c r="G868" t="str">
        <f>"00202289"</f>
        <v>00202289</v>
      </c>
      <c r="H868" t="s">
        <v>68</v>
      </c>
      <c r="I868">
        <v>0</v>
      </c>
      <c r="J868">
        <v>30</v>
      </c>
      <c r="K868">
        <v>30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28</v>
      </c>
      <c r="S868">
        <v>196</v>
      </c>
      <c r="T868">
        <v>0</v>
      </c>
      <c r="V868">
        <v>0</v>
      </c>
      <c r="W868" t="s">
        <v>1354</v>
      </c>
    </row>
    <row r="869" spans="1:23" x14ac:dyDescent="0.25">
      <c r="H869">
        <v>400</v>
      </c>
    </row>
    <row r="870" spans="1:23" x14ac:dyDescent="0.25">
      <c r="A870">
        <v>432</v>
      </c>
      <c r="B870">
        <v>1141</v>
      </c>
      <c r="C870" t="s">
        <v>1355</v>
      </c>
      <c r="D870" t="s">
        <v>1356</v>
      </c>
      <c r="E870" t="s">
        <v>209</v>
      </c>
      <c r="F870" t="s">
        <v>1357</v>
      </c>
      <c r="G870" t="str">
        <f>"00154426"</f>
        <v>00154426</v>
      </c>
      <c r="H870" t="s">
        <v>235</v>
      </c>
      <c r="I870">
        <v>0</v>
      </c>
      <c r="J870">
        <v>70</v>
      </c>
      <c r="K870">
        <v>0</v>
      </c>
      <c r="L870">
        <v>50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24</v>
      </c>
      <c r="S870">
        <v>168</v>
      </c>
      <c r="T870">
        <v>0</v>
      </c>
      <c r="V870">
        <v>0</v>
      </c>
      <c r="W870" t="s">
        <v>1358</v>
      </c>
    </row>
    <row r="871" spans="1:23" x14ac:dyDescent="0.25">
      <c r="H871">
        <v>400</v>
      </c>
    </row>
    <row r="872" spans="1:23" x14ac:dyDescent="0.25">
      <c r="A872">
        <v>433</v>
      </c>
      <c r="B872">
        <v>1680</v>
      </c>
      <c r="C872" t="s">
        <v>1359</v>
      </c>
      <c r="D872" t="s">
        <v>49</v>
      </c>
      <c r="E872" t="s">
        <v>144</v>
      </c>
      <c r="F872" t="s">
        <v>1360</v>
      </c>
      <c r="G872" t="str">
        <f>"201401002118"</f>
        <v>201401002118</v>
      </c>
      <c r="H872" t="s">
        <v>1205</v>
      </c>
      <c r="I872">
        <v>0</v>
      </c>
      <c r="J872">
        <v>50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78</v>
      </c>
      <c r="S872">
        <v>546</v>
      </c>
      <c r="T872">
        <v>0</v>
      </c>
      <c r="V872">
        <v>2</v>
      </c>
      <c r="W872" t="s">
        <v>1358</v>
      </c>
    </row>
    <row r="873" spans="1:23" x14ac:dyDescent="0.25">
      <c r="H873">
        <v>400</v>
      </c>
    </row>
    <row r="874" spans="1:23" x14ac:dyDescent="0.25">
      <c r="A874">
        <v>434</v>
      </c>
      <c r="B874">
        <v>1370</v>
      </c>
      <c r="C874" t="s">
        <v>1361</v>
      </c>
      <c r="D874" t="s">
        <v>1362</v>
      </c>
      <c r="E874" t="s">
        <v>158</v>
      </c>
      <c r="F874" t="s">
        <v>1363</v>
      </c>
      <c r="G874" t="str">
        <f>"00217287"</f>
        <v>00217287</v>
      </c>
      <c r="H874" t="s">
        <v>850</v>
      </c>
      <c r="I874">
        <v>0</v>
      </c>
      <c r="J874">
        <v>30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84</v>
      </c>
      <c r="S874">
        <v>588</v>
      </c>
      <c r="T874">
        <v>0</v>
      </c>
      <c r="V874">
        <v>0</v>
      </c>
      <c r="W874" t="s">
        <v>1358</v>
      </c>
    </row>
    <row r="875" spans="1:23" x14ac:dyDescent="0.25">
      <c r="H875">
        <v>400</v>
      </c>
    </row>
    <row r="876" spans="1:23" x14ac:dyDescent="0.25">
      <c r="A876">
        <v>435</v>
      </c>
      <c r="B876">
        <v>36</v>
      </c>
      <c r="C876" t="s">
        <v>1364</v>
      </c>
      <c r="D876" t="s">
        <v>1365</v>
      </c>
      <c r="E876" t="s">
        <v>15</v>
      </c>
      <c r="F876" t="s">
        <v>1366</v>
      </c>
      <c r="G876" t="str">
        <f>"201303000754"</f>
        <v>201303000754</v>
      </c>
      <c r="H876">
        <v>1001</v>
      </c>
      <c r="I876">
        <v>0</v>
      </c>
      <c r="J876">
        <v>50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33</v>
      </c>
      <c r="S876">
        <v>231</v>
      </c>
      <c r="T876">
        <v>0</v>
      </c>
      <c r="V876">
        <v>0</v>
      </c>
      <c r="W876">
        <v>1282</v>
      </c>
    </row>
    <row r="877" spans="1:23" x14ac:dyDescent="0.25">
      <c r="H877">
        <v>400</v>
      </c>
    </row>
    <row r="878" spans="1:23" x14ac:dyDescent="0.25">
      <c r="A878">
        <v>436</v>
      </c>
      <c r="B878">
        <v>1131</v>
      </c>
      <c r="C878" t="s">
        <v>1367</v>
      </c>
      <c r="D878" t="s">
        <v>363</v>
      </c>
      <c r="E878" t="s">
        <v>15</v>
      </c>
      <c r="F878" t="s">
        <v>1368</v>
      </c>
      <c r="G878" t="str">
        <f>"00217395"</f>
        <v>00217395</v>
      </c>
      <c r="H878">
        <v>825</v>
      </c>
      <c r="I878">
        <v>0</v>
      </c>
      <c r="J878">
        <v>30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61</v>
      </c>
      <c r="S878">
        <v>427</v>
      </c>
      <c r="T878">
        <v>0</v>
      </c>
      <c r="V878">
        <v>0</v>
      </c>
      <c r="W878">
        <v>1282</v>
      </c>
    </row>
    <row r="879" spans="1:23" x14ac:dyDescent="0.25">
      <c r="H879">
        <v>400</v>
      </c>
    </row>
    <row r="880" spans="1:23" x14ac:dyDescent="0.25">
      <c r="A880">
        <v>437</v>
      </c>
      <c r="B880">
        <v>970</v>
      </c>
      <c r="C880" t="s">
        <v>1369</v>
      </c>
      <c r="D880" t="s">
        <v>192</v>
      </c>
      <c r="E880" t="s">
        <v>71</v>
      </c>
      <c r="F880" t="s">
        <v>1370</v>
      </c>
      <c r="G880" t="str">
        <f>"201407000048"</f>
        <v>201407000048</v>
      </c>
      <c r="H880">
        <v>968</v>
      </c>
      <c r="I880">
        <v>0</v>
      </c>
      <c r="J880">
        <v>30</v>
      </c>
      <c r="K880">
        <v>0</v>
      </c>
      <c r="L880">
        <v>30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36</v>
      </c>
      <c r="S880">
        <v>252</v>
      </c>
      <c r="T880">
        <v>0</v>
      </c>
      <c r="V880">
        <v>0</v>
      </c>
      <c r="W880">
        <v>1280</v>
      </c>
    </row>
    <row r="881" spans="1:23" x14ac:dyDescent="0.25">
      <c r="H881">
        <v>400</v>
      </c>
    </row>
    <row r="882" spans="1:23" x14ac:dyDescent="0.25">
      <c r="A882">
        <v>438</v>
      </c>
      <c r="B882">
        <v>1625</v>
      </c>
      <c r="C882" t="s">
        <v>1371</v>
      </c>
      <c r="D882" t="s">
        <v>187</v>
      </c>
      <c r="E882" t="s">
        <v>71</v>
      </c>
      <c r="F882" t="s">
        <v>1372</v>
      </c>
      <c r="G882" t="str">
        <f>"201405001038"</f>
        <v>201405001038</v>
      </c>
      <c r="H882">
        <v>946</v>
      </c>
      <c r="I882">
        <v>150</v>
      </c>
      <c r="J882">
        <v>30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22</v>
      </c>
      <c r="S882">
        <v>154</v>
      </c>
      <c r="T882">
        <v>0</v>
      </c>
      <c r="V882">
        <v>1</v>
      </c>
      <c r="W882">
        <v>1280</v>
      </c>
    </row>
    <row r="883" spans="1:23" x14ac:dyDescent="0.25">
      <c r="H883">
        <v>400</v>
      </c>
    </row>
    <row r="884" spans="1:23" x14ac:dyDescent="0.25">
      <c r="A884">
        <v>439</v>
      </c>
      <c r="B884">
        <v>1653</v>
      </c>
      <c r="C884" t="s">
        <v>1373</v>
      </c>
      <c r="D884" t="s">
        <v>918</v>
      </c>
      <c r="E884" t="s">
        <v>71</v>
      </c>
      <c r="F884" t="s">
        <v>1374</v>
      </c>
      <c r="G884" t="str">
        <f>"00214290"</f>
        <v>00214290</v>
      </c>
      <c r="H884" t="s">
        <v>868</v>
      </c>
      <c r="I884">
        <v>0</v>
      </c>
      <c r="J884">
        <v>30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63</v>
      </c>
      <c r="S884">
        <v>441</v>
      </c>
      <c r="T884">
        <v>0</v>
      </c>
      <c r="V884">
        <v>0</v>
      </c>
      <c r="W884" t="s">
        <v>1375</v>
      </c>
    </row>
    <row r="885" spans="1:23" x14ac:dyDescent="0.25">
      <c r="H885">
        <v>400</v>
      </c>
    </row>
    <row r="886" spans="1:23" x14ac:dyDescent="0.25">
      <c r="A886">
        <v>440</v>
      </c>
      <c r="B886">
        <v>1629</v>
      </c>
      <c r="C886" t="s">
        <v>1376</v>
      </c>
      <c r="D886" t="s">
        <v>1377</v>
      </c>
      <c r="E886" t="s">
        <v>291</v>
      </c>
      <c r="F886" t="s">
        <v>1378</v>
      </c>
      <c r="G886" t="str">
        <f>"201402005808"</f>
        <v>201402005808</v>
      </c>
      <c r="H886" t="s">
        <v>1379</v>
      </c>
      <c r="I886">
        <v>150</v>
      </c>
      <c r="J886">
        <v>30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26</v>
      </c>
      <c r="S886">
        <v>182</v>
      </c>
      <c r="T886">
        <v>0</v>
      </c>
      <c r="V886">
        <v>0</v>
      </c>
      <c r="W886" t="s">
        <v>1380</v>
      </c>
    </row>
    <row r="887" spans="1:23" x14ac:dyDescent="0.25">
      <c r="H887">
        <v>400</v>
      </c>
    </row>
    <row r="888" spans="1:23" x14ac:dyDescent="0.25">
      <c r="A888">
        <v>441</v>
      </c>
      <c r="B888">
        <v>1188</v>
      </c>
      <c r="C888" t="s">
        <v>1381</v>
      </c>
      <c r="D888" t="s">
        <v>683</v>
      </c>
      <c r="E888" t="s">
        <v>408</v>
      </c>
      <c r="F888" t="s">
        <v>1382</v>
      </c>
      <c r="G888" t="str">
        <f>"201604006288"</f>
        <v>201604006288</v>
      </c>
      <c r="H888">
        <v>869</v>
      </c>
      <c r="I888">
        <v>0</v>
      </c>
      <c r="J888">
        <v>30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54</v>
      </c>
      <c r="S888">
        <v>378</v>
      </c>
      <c r="T888">
        <v>0</v>
      </c>
      <c r="V888">
        <v>0</v>
      </c>
      <c r="W888">
        <v>1277</v>
      </c>
    </row>
    <row r="889" spans="1:23" x14ac:dyDescent="0.25">
      <c r="H889">
        <v>400</v>
      </c>
    </row>
    <row r="890" spans="1:23" x14ac:dyDescent="0.25">
      <c r="A890">
        <v>442</v>
      </c>
      <c r="B890">
        <v>1902</v>
      </c>
      <c r="C890" t="s">
        <v>1383</v>
      </c>
      <c r="D890" t="s">
        <v>467</v>
      </c>
      <c r="E890" t="s">
        <v>15</v>
      </c>
      <c r="F890" t="s">
        <v>1384</v>
      </c>
      <c r="G890" t="str">
        <f>"201406002687"</f>
        <v>201406002687</v>
      </c>
      <c r="H890">
        <v>660</v>
      </c>
      <c r="I890">
        <v>0</v>
      </c>
      <c r="J890">
        <v>50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81</v>
      </c>
      <c r="S890">
        <v>567</v>
      </c>
      <c r="T890">
        <v>0</v>
      </c>
      <c r="V890">
        <v>0</v>
      </c>
      <c r="W890">
        <v>1277</v>
      </c>
    </row>
    <row r="891" spans="1:23" x14ac:dyDescent="0.25">
      <c r="H891">
        <v>400</v>
      </c>
    </row>
    <row r="892" spans="1:23" x14ac:dyDescent="0.25">
      <c r="A892">
        <v>443</v>
      </c>
      <c r="B892">
        <v>487</v>
      </c>
      <c r="C892" t="s">
        <v>1323</v>
      </c>
      <c r="D892" t="s">
        <v>1385</v>
      </c>
      <c r="E892" t="s">
        <v>209</v>
      </c>
      <c r="F892" t="s">
        <v>1386</v>
      </c>
      <c r="G892" t="str">
        <f>"00217781"</f>
        <v>00217781</v>
      </c>
      <c r="H892" t="s">
        <v>235</v>
      </c>
      <c r="I892">
        <v>0</v>
      </c>
      <c r="J892">
        <v>70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30</v>
      </c>
      <c r="S892">
        <v>210</v>
      </c>
      <c r="T892">
        <v>0</v>
      </c>
      <c r="V892">
        <v>0</v>
      </c>
      <c r="W892" t="s">
        <v>1387</v>
      </c>
    </row>
    <row r="893" spans="1:23" x14ac:dyDescent="0.25">
      <c r="H893">
        <v>400</v>
      </c>
    </row>
    <row r="894" spans="1:23" x14ac:dyDescent="0.25">
      <c r="A894">
        <v>444</v>
      </c>
      <c r="B894">
        <v>194</v>
      </c>
      <c r="C894" t="s">
        <v>1388</v>
      </c>
      <c r="D894" t="s">
        <v>177</v>
      </c>
      <c r="E894" t="s">
        <v>15</v>
      </c>
      <c r="F894" t="s">
        <v>1389</v>
      </c>
      <c r="G894" t="str">
        <f>"201409005004"</f>
        <v>201409005004</v>
      </c>
      <c r="H894">
        <v>1034</v>
      </c>
      <c r="I894">
        <v>0</v>
      </c>
      <c r="J894">
        <v>30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30</v>
      </c>
      <c r="S894">
        <v>210</v>
      </c>
      <c r="T894">
        <v>0</v>
      </c>
      <c r="V894">
        <v>0</v>
      </c>
      <c r="W894">
        <v>1274</v>
      </c>
    </row>
    <row r="895" spans="1:23" x14ac:dyDescent="0.25">
      <c r="H895">
        <v>400</v>
      </c>
    </row>
    <row r="896" spans="1:23" x14ac:dyDescent="0.25">
      <c r="A896">
        <v>445</v>
      </c>
      <c r="B896">
        <v>856</v>
      </c>
      <c r="C896" t="s">
        <v>1390</v>
      </c>
      <c r="D896" t="s">
        <v>49</v>
      </c>
      <c r="E896" t="s">
        <v>15</v>
      </c>
      <c r="F896" t="s">
        <v>1391</v>
      </c>
      <c r="G896" t="str">
        <f>"201412006322"</f>
        <v>201412006322</v>
      </c>
      <c r="H896" t="s">
        <v>189</v>
      </c>
      <c r="I896">
        <v>0</v>
      </c>
      <c r="J896">
        <v>30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26</v>
      </c>
      <c r="S896">
        <v>182</v>
      </c>
      <c r="T896">
        <v>0</v>
      </c>
      <c r="V896">
        <v>0</v>
      </c>
      <c r="W896" t="s">
        <v>1392</v>
      </c>
    </row>
    <row r="897" spans="1:23" x14ac:dyDescent="0.25">
      <c r="H897">
        <v>400</v>
      </c>
    </row>
    <row r="898" spans="1:23" x14ac:dyDescent="0.25">
      <c r="A898">
        <v>446</v>
      </c>
      <c r="B898">
        <v>1691</v>
      </c>
      <c r="C898" t="s">
        <v>1393</v>
      </c>
      <c r="D898" t="s">
        <v>1394</v>
      </c>
      <c r="E898" t="s">
        <v>15</v>
      </c>
      <c r="F898" t="s">
        <v>1395</v>
      </c>
      <c r="G898" t="str">
        <f>"00160009"</f>
        <v>00160009</v>
      </c>
      <c r="H898">
        <v>935</v>
      </c>
      <c r="I898">
        <v>0</v>
      </c>
      <c r="J898">
        <v>30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44</v>
      </c>
      <c r="S898">
        <v>308</v>
      </c>
      <c r="T898">
        <v>0</v>
      </c>
      <c r="V898">
        <v>0</v>
      </c>
      <c r="W898">
        <v>1273</v>
      </c>
    </row>
    <row r="899" spans="1:23" x14ac:dyDescent="0.25">
      <c r="H899">
        <v>400</v>
      </c>
    </row>
    <row r="900" spans="1:23" x14ac:dyDescent="0.25">
      <c r="A900">
        <v>447</v>
      </c>
      <c r="B900">
        <v>1822</v>
      </c>
      <c r="C900" t="s">
        <v>1396</v>
      </c>
      <c r="D900" t="s">
        <v>200</v>
      </c>
      <c r="E900" t="s">
        <v>485</v>
      </c>
      <c r="F900" t="s">
        <v>1397</v>
      </c>
      <c r="G900" t="str">
        <f>"201201000129"</f>
        <v>201201000129</v>
      </c>
      <c r="H900" t="s">
        <v>437</v>
      </c>
      <c r="I900">
        <v>0</v>
      </c>
      <c r="J900">
        <v>50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48</v>
      </c>
      <c r="S900">
        <v>336</v>
      </c>
      <c r="T900">
        <v>0</v>
      </c>
      <c r="V900">
        <v>1</v>
      </c>
      <c r="W900" t="s">
        <v>1398</v>
      </c>
    </row>
    <row r="901" spans="1:23" x14ac:dyDescent="0.25">
      <c r="H901">
        <v>400</v>
      </c>
    </row>
    <row r="902" spans="1:23" x14ac:dyDescent="0.25">
      <c r="A902">
        <v>448</v>
      </c>
      <c r="B902">
        <v>1218</v>
      </c>
      <c r="C902" t="s">
        <v>1399</v>
      </c>
      <c r="D902" t="s">
        <v>738</v>
      </c>
      <c r="E902" t="s">
        <v>21</v>
      </c>
      <c r="F902" t="s">
        <v>1400</v>
      </c>
      <c r="G902" t="str">
        <f>"201402010055"</f>
        <v>201402010055</v>
      </c>
      <c r="H902">
        <v>880</v>
      </c>
      <c r="I902">
        <v>150</v>
      </c>
      <c r="J902">
        <v>30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30</v>
      </c>
      <c r="S902">
        <v>210</v>
      </c>
      <c r="T902">
        <v>0</v>
      </c>
      <c r="V902">
        <v>0</v>
      </c>
      <c r="W902">
        <v>1270</v>
      </c>
    </row>
    <row r="903" spans="1:23" x14ac:dyDescent="0.25">
      <c r="H903">
        <v>400</v>
      </c>
    </row>
    <row r="904" spans="1:23" x14ac:dyDescent="0.25">
      <c r="A904">
        <v>449</v>
      </c>
      <c r="B904">
        <v>1643</v>
      </c>
      <c r="C904" t="s">
        <v>1401</v>
      </c>
      <c r="D904" t="s">
        <v>1402</v>
      </c>
      <c r="E904" t="s">
        <v>1403</v>
      </c>
      <c r="F904" t="s">
        <v>1404</v>
      </c>
      <c r="G904" t="str">
        <f>"201412005873"</f>
        <v>201412005873</v>
      </c>
      <c r="H904">
        <v>781</v>
      </c>
      <c r="I904">
        <v>150</v>
      </c>
      <c r="J904">
        <v>70</v>
      </c>
      <c r="K904">
        <v>0</v>
      </c>
      <c r="L904">
        <v>30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34</v>
      </c>
      <c r="S904">
        <v>238</v>
      </c>
      <c r="T904">
        <v>0</v>
      </c>
      <c r="V904">
        <v>0</v>
      </c>
      <c r="W904">
        <v>1269</v>
      </c>
    </row>
    <row r="905" spans="1:23" x14ac:dyDescent="0.25">
      <c r="H905" t="s">
        <v>76</v>
      </c>
    </row>
    <row r="906" spans="1:23" x14ac:dyDescent="0.25">
      <c r="A906">
        <v>450</v>
      </c>
      <c r="B906">
        <v>1642</v>
      </c>
      <c r="C906" t="s">
        <v>1405</v>
      </c>
      <c r="D906" t="s">
        <v>74</v>
      </c>
      <c r="E906" t="s">
        <v>610</v>
      </c>
      <c r="F906" t="s">
        <v>1406</v>
      </c>
      <c r="G906" t="str">
        <f>"201412000592"</f>
        <v>201412000592</v>
      </c>
      <c r="H906">
        <v>880</v>
      </c>
      <c r="I906">
        <v>0</v>
      </c>
      <c r="J906">
        <v>30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51</v>
      </c>
      <c r="S906">
        <v>357</v>
      </c>
      <c r="T906">
        <v>0</v>
      </c>
      <c r="V906">
        <v>0</v>
      </c>
      <c r="W906">
        <v>1267</v>
      </c>
    </row>
    <row r="907" spans="1:23" x14ac:dyDescent="0.25">
      <c r="H907">
        <v>400</v>
      </c>
    </row>
    <row r="908" spans="1:23" x14ac:dyDescent="0.25">
      <c r="A908">
        <v>451</v>
      </c>
      <c r="B908">
        <v>427</v>
      </c>
      <c r="C908" t="s">
        <v>1407</v>
      </c>
      <c r="D908" t="s">
        <v>97</v>
      </c>
      <c r="E908" t="s">
        <v>408</v>
      </c>
      <c r="F908" t="s">
        <v>1408</v>
      </c>
      <c r="G908" t="str">
        <f>"200802007791"</f>
        <v>200802007791</v>
      </c>
      <c r="H908">
        <v>649</v>
      </c>
      <c r="I908">
        <v>0</v>
      </c>
      <c r="J908">
        <v>30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84</v>
      </c>
      <c r="S908">
        <v>588</v>
      </c>
      <c r="T908">
        <v>0</v>
      </c>
      <c r="V908">
        <v>0</v>
      </c>
      <c r="W908">
        <v>1267</v>
      </c>
    </row>
    <row r="909" spans="1:23" x14ac:dyDescent="0.25">
      <c r="H909">
        <v>400</v>
      </c>
    </row>
    <row r="910" spans="1:23" x14ac:dyDescent="0.25">
      <c r="A910">
        <v>452</v>
      </c>
      <c r="B910">
        <v>1919</v>
      </c>
      <c r="C910" t="s">
        <v>1409</v>
      </c>
      <c r="D910" t="s">
        <v>180</v>
      </c>
      <c r="E910" t="s">
        <v>209</v>
      </c>
      <c r="F910" t="s">
        <v>1410</v>
      </c>
      <c r="G910" t="str">
        <f>"201406014858"</f>
        <v>201406014858</v>
      </c>
      <c r="H910" t="s">
        <v>114</v>
      </c>
      <c r="I910">
        <v>150</v>
      </c>
      <c r="J910">
        <v>30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24</v>
      </c>
      <c r="S910">
        <v>168</v>
      </c>
      <c r="T910">
        <v>0</v>
      </c>
      <c r="V910">
        <v>0</v>
      </c>
      <c r="W910" t="s">
        <v>1411</v>
      </c>
    </row>
    <row r="911" spans="1:23" x14ac:dyDescent="0.25">
      <c r="H911">
        <v>400</v>
      </c>
    </row>
    <row r="912" spans="1:23" x14ac:dyDescent="0.25">
      <c r="A912">
        <v>453</v>
      </c>
      <c r="B912">
        <v>1386</v>
      </c>
      <c r="C912" t="s">
        <v>1412</v>
      </c>
      <c r="D912" t="s">
        <v>180</v>
      </c>
      <c r="E912" t="s">
        <v>49</v>
      </c>
      <c r="F912" t="s">
        <v>1413</v>
      </c>
      <c r="G912" t="str">
        <f>"201412006535"</f>
        <v>201412006535</v>
      </c>
      <c r="H912" t="s">
        <v>1414</v>
      </c>
      <c r="I912">
        <v>150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13</v>
      </c>
      <c r="S912">
        <v>91</v>
      </c>
      <c r="T912">
        <v>0</v>
      </c>
      <c r="V912">
        <v>0</v>
      </c>
      <c r="W912" t="s">
        <v>1415</v>
      </c>
    </row>
    <row r="913" spans="1:23" x14ac:dyDescent="0.25">
      <c r="H913">
        <v>400</v>
      </c>
    </row>
    <row r="914" spans="1:23" x14ac:dyDescent="0.25">
      <c r="A914">
        <v>454</v>
      </c>
      <c r="B914">
        <v>1307</v>
      </c>
      <c r="C914" t="s">
        <v>1416</v>
      </c>
      <c r="D914" t="s">
        <v>50</v>
      </c>
      <c r="E914" t="s">
        <v>942</v>
      </c>
      <c r="F914" t="s">
        <v>1417</v>
      </c>
      <c r="G914" t="str">
        <f>"201507003323"</f>
        <v>201507003323</v>
      </c>
      <c r="H914" t="s">
        <v>194</v>
      </c>
      <c r="I914">
        <v>0</v>
      </c>
      <c r="J914">
        <v>70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29</v>
      </c>
      <c r="S914">
        <v>203</v>
      </c>
      <c r="T914">
        <v>0</v>
      </c>
      <c r="V914">
        <v>0</v>
      </c>
      <c r="W914" t="s">
        <v>1418</v>
      </c>
    </row>
    <row r="915" spans="1:23" x14ac:dyDescent="0.25">
      <c r="H915" t="s">
        <v>76</v>
      </c>
    </row>
    <row r="916" spans="1:23" x14ac:dyDescent="0.25">
      <c r="A916">
        <v>455</v>
      </c>
      <c r="B916">
        <v>1553</v>
      </c>
      <c r="C916" t="s">
        <v>1419</v>
      </c>
      <c r="D916" t="s">
        <v>1420</v>
      </c>
      <c r="E916" t="s">
        <v>15</v>
      </c>
      <c r="F916" t="s">
        <v>1421</v>
      </c>
      <c r="G916" t="str">
        <f>"201504001506"</f>
        <v>201504001506</v>
      </c>
      <c r="H916" t="s">
        <v>114</v>
      </c>
      <c r="I916">
        <v>0</v>
      </c>
      <c r="J916">
        <v>30</v>
      </c>
      <c r="K916">
        <v>30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41</v>
      </c>
      <c r="S916">
        <v>287</v>
      </c>
      <c r="T916">
        <v>0</v>
      </c>
      <c r="V916">
        <v>0</v>
      </c>
      <c r="W916" t="s">
        <v>1418</v>
      </c>
    </row>
    <row r="917" spans="1:23" x14ac:dyDescent="0.25">
      <c r="H917">
        <v>400</v>
      </c>
    </row>
    <row r="918" spans="1:23" x14ac:dyDescent="0.25">
      <c r="A918">
        <v>456</v>
      </c>
      <c r="B918">
        <v>176</v>
      </c>
      <c r="C918" t="s">
        <v>1200</v>
      </c>
      <c r="D918" t="s">
        <v>313</v>
      </c>
      <c r="E918" t="s">
        <v>511</v>
      </c>
      <c r="F918" t="s">
        <v>1422</v>
      </c>
      <c r="G918" t="str">
        <f>"00155086"</f>
        <v>00155086</v>
      </c>
      <c r="H918">
        <v>693</v>
      </c>
      <c r="I918">
        <v>150</v>
      </c>
      <c r="J918">
        <v>50</v>
      </c>
      <c r="K918">
        <v>70</v>
      </c>
      <c r="L918">
        <v>0</v>
      </c>
      <c r="M918">
        <v>0</v>
      </c>
      <c r="N918">
        <v>0</v>
      </c>
      <c r="O918">
        <v>0</v>
      </c>
      <c r="P918">
        <v>50</v>
      </c>
      <c r="Q918">
        <v>0</v>
      </c>
      <c r="R918">
        <v>36</v>
      </c>
      <c r="S918">
        <v>252</v>
      </c>
      <c r="T918">
        <v>0</v>
      </c>
      <c r="V918">
        <v>0</v>
      </c>
      <c r="W918">
        <v>1265</v>
      </c>
    </row>
    <row r="919" spans="1:23" x14ac:dyDescent="0.25">
      <c r="H919">
        <v>400</v>
      </c>
    </row>
    <row r="920" spans="1:23" x14ac:dyDescent="0.25">
      <c r="A920">
        <v>457</v>
      </c>
      <c r="B920">
        <v>698</v>
      </c>
      <c r="C920" t="s">
        <v>1423</v>
      </c>
      <c r="D920" t="s">
        <v>1424</v>
      </c>
      <c r="E920" t="s">
        <v>15</v>
      </c>
      <c r="F920" t="s">
        <v>1425</v>
      </c>
      <c r="G920" t="str">
        <f>"201406006283"</f>
        <v>201406006283</v>
      </c>
      <c r="H920" t="s">
        <v>194</v>
      </c>
      <c r="I920">
        <v>0</v>
      </c>
      <c r="J920">
        <v>70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33</v>
      </c>
      <c r="S920">
        <v>231</v>
      </c>
      <c r="T920">
        <v>0</v>
      </c>
      <c r="V920">
        <v>0</v>
      </c>
      <c r="W920" t="s">
        <v>1426</v>
      </c>
    </row>
    <row r="921" spans="1:23" x14ac:dyDescent="0.25">
      <c r="H921">
        <v>400</v>
      </c>
    </row>
    <row r="922" spans="1:23" x14ac:dyDescent="0.25">
      <c r="A922">
        <v>458</v>
      </c>
      <c r="B922">
        <v>616</v>
      </c>
      <c r="C922" t="s">
        <v>1427</v>
      </c>
      <c r="D922" t="s">
        <v>59</v>
      </c>
      <c r="E922" t="s">
        <v>163</v>
      </c>
      <c r="F922" t="s">
        <v>1428</v>
      </c>
      <c r="G922" t="str">
        <f>"201410002640"</f>
        <v>201410002640</v>
      </c>
      <c r="H922">
        <v>979</v>
      </c>
      <c r="I922">
        <v>0</v>
      </c>
      <c r="J922">
        <v>30</v>
      </c>
      <c r="K922">
        <v>0</v>
      </c>
      <c r="L922">
        <v>30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32</v>
      </c>
      <c r="S922">
        <v>224</v>
      </c>
      <c r="T922">
        <v>0</v>
      </c>
      <c r="V922">
        <v>0</v>
      </c>
      <c r="W922">
        <v>1263</v>
      </c>
    </row>
    <row r="923" spans="1:23" x14ac:dyDescent="0.25">
      <c r="H923">
        <v>400</v>
      </c>
    </row>
    <row r="924" spans="1:23" x14ac:dyDescent="0.25">
      <c r="A924">
        <v>459</v>
      </c>
      <c r="B924">
        <v>1107</v>
      </c>
      <c r="C924" t="s">
        <v>1429</v>
      </c>
      <c r="D924" t="s">
        <v>71</v>
      </c>
      <c r="E924" t="s">
        <v>27</v>
      </c>
      <c r="F924" t="s">
        <v>1430</v>
      </c>
      <c r="G924" t="str">
        <f>"201406005087"</f>
        <v>201406005087</v>
      </c>
      <c r="H924">
        <v>814</v>
      </c>
      <c r="I924">
        <v>0</v>
      </c>
      <c r="J924">
        <v>70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54</v>
      </c>
      <c r="S924">
        <v>378</v>
      </c>
      <c r="T924">
        <v>0</v>
      </c>
      <c r="V924">
        <v>0</v>
      </c>
      <c r="W924">
        <v>1262</v>
      </c>
    </row>
    <row r="925" spans="1:23" x14ac:dyDescent="0.25">
      <c r="H925">
        <v>400</v>
      </c>
    </row>
    <row r="926" spans="1:23" x14ac:dyDescent="0.25">
      <c r="A926">
        <v>460</v>
      </c>
      <c r="B926">
        <v>380</v>
      </c>
      <c r="C926" t="s">
        <v>1431</v>
      </c>
      <c r="D926" t="s">
        <v>15</v>
      </c>
      <c r="E926" t="s">
        <v>21</v>
      </c>
      <c r="F926" t="s">
        <v>1432</v>
      </c>
      <c r="G926" t="str">
        <f>"00199948"</f>
        <v>00199948</v>
      </c>
      <c r="H926">
        <v>671</v>
      </c>
      <c r="I926">
        <v>0</v>
      </c>
      <c r="J926">
        <v>30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80</v>
      </c>
      <c r="S926">
        <v>560</v>
      </c>
      <c r="T926">
        <v>0</v>
      </c>
      <c r="V926">
        <v>0</v>
      </c>
      <c r="W926">
        <v>1261</v>
      </c>
    </row>
    <row r="927" spans="1:23" x14ac:dyDescent="0.25">
      <c r="H927">
        <v>400</v>
      </c>
    </row>
    <row r="928" spans="1:23" x14ac:dyDescent="0.25">
      <c r="A928">
        <v>461</v>
      </c>
      <c r="B928">
        <v>515</v>
      </c>
      <c r="C928" t="s">
        <v>33</v>
      </c>
      <c r="D928" t="s">
        <v>1433</v>
      </c>
      <c r="E928" t="s">
        <v>209</v>
      </c>
      <c r="F928" t="s">
        <v>1434</v>
      </c>
      <c r="G928" t="str">
        <f>"201406011336"</f>
        <v>201406011336</v>
      </c>
      <c r="H928" t="s">
        <v>41</v>
      </c>
      <c r="I928">
        <v>0</v>
      </c>
      <c r="J928">
        <v>30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32</v>
      </c>
      <c r="S928">
        <v>224</v>
      </c>
      <c r="T928">
        <v>0</v>
      </c>
      <c r="V928">
        <v>0</v>
      </c>
      <c r="W928" t="s">
        <v>1435</v>
      </c>
    </row>
    <row r="929" spans="1:23" x14ac:dyDescent="0.25">
      <c r="H929">
        <v>400</v>
      </c>
    </row>
    <row r="930" spans="1:23" x14ac:dyDescent="0.25">
      <c r="A930">
        <v>462</v>
      </c>
      <c r="B930">
        <v>87</v>
      </c>
      <c r="C930" t="s">
        <v>241</v>
      </c>
      <c r="D930" t="s">
        <v>192</v>
      </c>
      <c r="E930" t="s">
        <v>71</v>
      </c>
      <c r="F930" t="s">
        <v>1436</v>
      </c>
      <c r="G930" t="str">
        <f>"201410004127"</f>
        <v>201410004127</v>
      </c>
      <c r="H930" t="s">
        <v>285</v>
      </c>
      <c r="I930">
        <v>0</v>
      </c>
      <c r="J930">
        <v>70</v>
      </c>
      <c r="K930">
        <v>30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33</v>
      </c>
      <c r="S930">
        <v>231</v>
      </c>
      <c r="T930">
        <v>0</v>
      </c>
      <c r="V930">
        <v>0</v>
      </c>
      <c r="W930" t="s">
        <v>1435</v>
      </c>
    </row>
    <row r="931" spans="1:23" x14ac:dyDescent="0.25">
      <c r="H931">
        <v>400</v>
      </c>
    </row>
    <row r="932" spans="1:23" x14ac:dyDescent="0.25">
      <c r="A932">
        <v>463</v>
      </c>
      <c r="B932">
        <v>860</v>
      </c>
      <c r="C932" t="s">
        <v>1250</v>
      </c>
      <c r="D932" t="s">
        <v>192</v>
      </c>
      <c r="E932" t="s">
        <v>1252</v>
      </c>
      <c r="F932" t="s">
        <v>1437</v>
      </c>
      <c r="G932" t="str">
        <f>"201406017329"</f>
        <v>201406017329</v>
      </c>
      <c r="H932" t="s">
        <v>868</v>
      </c>
      <c r="I932">
        <v>150</v>
      </c>
      <c r="J932">
        <v>70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33</v>
      </c>
      <c r="S932">
        <v>231</v>
      </c>
      <c r="T932">
        <v>0</v>
      </c>
      <c r="V932">
        <v>0</v>
      </c>
      <c r="W932" t="s">
        <v>1438</v>
      </c>
    </row>
    <row r="933" spans="1:23" x14ac:dyDescent="0.25">
      <c r="H933">
        <v>400</v>
      </c>
    </row>
    <row r="934" spans="1:23" x14ac:dyDescent="0.25">
      <c r="A934">
        <v>464</v>
      </c>
      <c r="B934">
        <v>47</v>
      </c>
      <c r="C934" t="s">
        <v>1439</v>
      </c>
      <c r="D934" t="s">
        <v>1440</v>
      </c>
      <c r="E934" t="s">
        <v>291</v>
      </c>
      <c r="F934" t="s">
        <v>1441</v>
      </c>
      <c r="G934" t="str">
        <f>"201412002770"</f>
        <v>201412002770</v>
      </c>
      <c r="H934">
        <v>858</v>
      </c>
      <c r="I934">
        <v>0</v>
      </c>
      <c r="J934">
        <v>70</v>
      </c>
      <c r="K934">
        <v>30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43</v>
      </c>
      <c r="S934">
        <v>301</v>
      </c>
      <c r="T934">
        <v>0</v>
      </c>
      <c r="V934">
        <v>0</v>
      </c>
      <c r="W934">
        <v>1259</v>
      </c>
    </row>
    <row r="935" spans="1:23" x14ac:dyDescent="0.25">
      <c r="H935">
        <v>400</v>
      </c>
    </row>
    <row r="936" spans="1:23" x14ac:dyDescent="0.25">
      <c r="A936">
        <v>465</v>
      </c>
      <c r="B936">
        <v>660</v>
      </c>
      <c r="C936" t="s">
        <v>1442</v>
      </c>
      <c r="D936" t="s">
        <v>157</v>
      </c>
      <c r="E936" t="s">
        <v>209</v>
      </c>
      <c r="F936" t="s">
        <v>1443</v>
      </c>
      <c r="G936" t="str">
        <f>"201406000182"</f>
        <v>201406000182</v>
      </c>
      <c r="H936" t="s">
        <v>194</v>
      </c>
      <c r="I936">
        <v>0</v>
      </c>
      <c r="J936">
        <v>30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38</v>
      </c>
      <c r="S936">
        <v>266</v>
      </c>
      <c r="T936">
        <v>0</v>
      </c>
      <c r="V936">
        <v>1</v>
      </c>
      <c r="W936" t="s">
        <v>1444</v>
      </c>
    </row>
    <row r="937" spans="1:23" x14ac:dyDescent="0.25">
      <c r="H937">
        <v>400</v>
      </c>
    </row>
    <row r="938" spans="1:23" x14ac:dyDescent="0.25">
      <c r="A938">
        <v>466</v>
      </c>
      <c r="B938">
        <v>1382</v>
      </c>
      <c r="C938" t="s">
        <v>1445</v>
      </c>
      <c r="D938" t="s">
        <v>1446</v>
      </c>
      <c r="E938" t="s">
        <v>1044</v>
      </c>
      <c r="F938" t="s">
        <v>1447</v>
      </c>
      <c r="G938" t="str">
        <f>"00215097"</f>
        <v>00215097</v>
      </c>
      <c r="H938">
        <v>880</v>
      </c>
      <c r="I938">
        <v>0</v>
      </c>
      <c r="J938">
        <v>70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44</v>
      </c>
      <c r="S938">
        <v>308</v>
      </c>
      <c r="T938">
        <v>0</v>
      </c>
      <c r="V938">
        <v>0</v>
      </c>
      <c r="W938">
        <v>1258</v>
      </c>
    </row>
    <row r="939" spans="1:23" x14ac:dyDescent="0.25">
      <c r="H939">
        <v>400</v>
      </c>
    </row>
    <row r="940" spans="1:23" x14ac:dyDescent="0.25">
      <c r="A940">
        <v>467</v>
      </c>
      <c r="B940">
        <v>762</v>
      </c>
      <c r="C940" t="s">
        <v>1448</v>
      </c>
      <c r="D940" t="s">
        <v>106</v>
      </c>
      <c r="E940" t="s">
        <v>241</v>
      </c>
      <c r="F940" t="s">
        <v>1449</v>
      </c>
      <c r="G940" t="str">
        <f>"00215695"</f>
        <v>00215695</v>
      </c>
      <c r="H940" t="s">
        <v>1450</v>
      </c>
      <c r="I940">
        <v>0</v>
      </c>
      <c r="J940">
        <v>70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84</v>
      </c>
      <c r="S940">
        <v>588</v>
      </c>
      <c r="T940">
        <v>0</v>
      </c>
      <c r="V940">
        <v>1</v>
      </c>
      <c r="W940" t="s">
        <v>1451</v>
      </c>
    </row>
    <row r="941" spans="1:23" x14ac:dyDescent="0.25">
      <c r="H941">
        <v>400</v>
      </c>
    </row>
    <row r="942" spans="1:23" x14ac:dyDescent="0.25">
      <c r="A942">
        <v>468</v>
      </c>
      <c r="B942">
        <v>1420</v>
      </c>
      <c r="C942" t="s">
        <v>1452</v>
      </c>
      <c r="D942" t="s">
        <v>298</v>
      </c>
      <c r="E942" t="s">
        <v>209</v>
      </c>
      <c r="F942" t="s">
        <v>1453</v>
      </c>
      <c r="G942" t="str">
        <f>"201511011616"</f>
        <v>201511011616</v>
      </c>
      <c r="H942" t="s">
        <v>710</v>
      </c>
      <c r="I942">
        <v>0</v>
      </c>
      <c r="J942">
        <v>50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49</v>
      </c>
      <c r="S942">
        <v>343</v>
      </c>
      <c r="T942">
        <v>0</v>
      </c>
      <c r="V942">
        <v>1</v>
      </c>
      <c r="W942" t="s">
        <v>1454</v>
      </c>
    </row>
    <row r="943" spans="1:23" x14ac:dyDescent="0.25">
      <c r="H943">
        <v>400</v>
      </c>
    </row>
    <row r="944" spans="1:23" x14ac:dyDescent="0.25">
      <c r="A944">
        <v>469</v>
      </c>
      <c r="B944">
        <v>186</v>
      </c>
      <c r="C944" t="s">
        <v>1455</v>
      </c>
      <c r="D944" t="s">
        <v>209</v>
      </c>
      <c r="E944" t="s">
        <v>523</v>
      </c>
      <c r="F944" t="s">
        <v>1456</v>
      </c>
      <c r="G944" t="str">
        <f>"00199415"</f>
        <v>00199415</v>
      </c>
      <c r="H944">
        <v>825</v>
      </c>
      <c r="I944">
        <v>0</v>
      </c>
      <c r="J944">
        <v>30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57</v>
      </c>
      <c r="S944">
        <v>399</v>
      </c>
      <c r="T944">
        <v>0</v>
      </c>
      <c r="V944">
        <v>0</v>
      </c>
      <c r="W944">
        <v>1254</v>
      </c>
    </row>
    <row r="945" spans="1:23" x14ac:dyDescent="0.25">
      <c r="H945">
        <v>400</v>
      </c>
    </row>
    <row r="946" spans="1:23" x14ac:dyDescent="0.25">
      <c r="A946">
        <v>470</v>
      </c>
      <c r="B946">
        <v>547</v>
      </c>
      <c r="C946" t="s">
        <v>1457</v>
      </c>
      <c r="D946" t="s">
        <v>50</v>
      </c>
      <c r="E946" t="s">
        <v>15</v>
      </c>
      <c r="F946" t="s">
        <v>1458</v>
      </c>
      <c r="G946" t="str">
        <f>"00198440"</f>
        <v>00198440</v>
      </c>
      <c r="H946">
        <v>1045</v>
      </c>
      <c r="I946">
        <v>150</v>
      </c>
      <c r="J946">
        <v>30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4</v>
      </c>
      <c r="S946">
        <v>28</v>
      </c>
      <c r="T946">
        <v>0</v>
      </c>
      <c r="V946">
        <v>0</v>
      </c>
      <c r="W946">
        <v>1253</v>
      </c>
    </row>
    <row r="947" spans="1:23" x14ac:dyDescent="0.25">
      <c r="H947">
        <v>400</v>
      </c>
    </row>
    <row r="948" spans="1:23" x14ac:dyDescent="0.25">
      <c r="A948">
        <v>471</v>
      </c>
      <c r="B948">
        <v>1121</v>
      </c>
      <c r="C948" t="s">
        <v>1459</v>
      </c>
      <c r="D948" t="s">
        <v>1460</v>
      </c>
      <c r="E948" t="s">
        <v>241</v>
      </c>
      <c r="F948" t="s">
        <v>1461</v>
      </c>
      <c r="G948" t="str">
        <f>"20160704443"</f>
        <v>20160704443</v>
      </c>
      <c r="H948">
        <v>935</v>
      </c>
      <c r="I948">
        <v>0</v>
      </c>
      <c r="J948">
        <v>30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41</v>
      </c>
      <c r="S948">
        <v>287</v>
      </c>
      <c r="T948">
        <v>0</v>
      </c>
      <c r="V948">
        <v>1</v>
      </c>
      <c r="W948">
        <v>1252</v>
      </c>
    </row>
    <row r="949" spans="1:23" x14ac:dyDescent="0.25">
      <c r="H949">
        <v>400</v>
      </c>
    </row>
    <row r="950" spans="1:23" x14ac:dyDescent="0.25">
      <c r="A950">
        <v>472</v>
      </c>
      <c r="B950">
        <v>1683</v>
      </c>
      <c r="C950" t="s">
        <v>1462</v>
      </c>
      <c r="D950" t="s">
        <v>71</v>
      </c>
      <c r="E950" t="s">
        <v>1463</v>
      </c>
      <c r="F950" t="s">
        <v>1464</v>
      </c>
      <c r="G950" t="str">
        <f>"00149357"</f>
        <v>00149357</v>
      </c>
      <c r="H950">
        <v>935</v>
      </c>
      <c r="I950">
        <v>0</v>
      </c>
      <c r="J950">
        <v>70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35</v>
      </c>
      <c r="S950">
        <v>245</v>
      </c>
      <c r="T950">
        <v>0</v>
      </c>
      <c r="V950">
        <v>0</v>
      </c>
      <c r="W950">
        <v>1250</v>
      </c>
    </row>
    <row r="951" spans="1:23" x14ac:dyDescent="0.25">
      <c r="H951">
        <v>400</v>
      </c>
    </row>
    <row r="952" spans="1:23" x14ac:dyDescent="0.25">
      <c r="A952">
        <v>473</v>
      </c>
      <c r="B952">
        <v>1611</v>
      </c>
      <c r="C952" t="s">
        <v>1465</v>
      </c>
      <c r="D952" t="s">
        <v>180</v>
      </c>
      <c r="E952" t="s">
        <v>106</v>
      </c>
      <c r="F952" t="s">
        <v>1466</v>
      </c>
      <c r="G952" t="str">
        <f>"201406010231"</f>
        <v>201406010231</v>
      </c>
      <c r="H952">
        <v>869</v>
      </c>
      <c r="I952">
        <v>0</v>
      </c>
      <c r="J952">
        <v>30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50</v>
      </c>
      <c r="S952">
        <v>350</v>
      </c>
      <c r="T952">
        <v>0</v>
      </c>
      <c r="V952">
        <v>0</v>
      </c>
      <c r="W952">
        <v>1249</v>
      </c>
    </row>
    <row r="953" spans="1:23" x14ac:dyDescent="0.25">
      <c r="H953">
        <v>400</v>
      </c>
    </row>
    <row r="954" spans="1:23" x14ac:dyDescent="0.25">
      <c r="A954">
        <v>474</v>
      </c>
      <c r="B954">
        <v>1090</v>
      </c>
      <c r="C954" t="s">
        <v>1467</v>
      </c>
      <c r="D954" t="s">
        <v>97</v>
      </c>
      <c r="E954" t="s">
        <v>59</v>
      </c>
      <c r="F954" t="s">
        <v>1468</v>
      </c>
      <c r="G954" t="str">
        <f>"201412004313"</f>
        <v>201412004313</v>
      </c>
      <c r="H954">
        <v>671</v>
      </c>
      <c r="I954">
        <v>150</v>
      </c>
      <c r="J954">
        <v>50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54</v>
      </c>
      <c r="S954">
        <v>378</v>
      </c>
      <c r="T954">
        <v>0</v>
      </c>
      <c r="V954">
        <v>0</v>
      </c>
      <c r="W954">
        <v>1249</v>
      </c>
    </row>
    <row r="955" spans="1:23" x14ac:dyDescent="0.25">
      <c r="H955">
        <v>400</v>
      </c>
    </row>
    <row r="956" spans="1:23" x14ac:dyDescent="0.25">
      <c r="A956">
        <v>475</v>
      </c>
      <c r="B956">
        <v>1713</v>
      </c>
      <c r="C956" t="s">
        <v>1469</v>
      </c>
      <c r="D956" t="s">
        <v>1470</v>
      </c>
      <c r="E956" t="s">
        <v>33</v>
      </c>
      <c r="F956" t="s">
        <v>1471</v>
      </c>
      <c r="G956" t="str">
        <f>"00213269"</f>
        <v>00213269</v>
      </c>
      <c r="H956">
        <v>935</v>
      </c>
      <c r="I956">
        <v>150</v>
      </c>
      <c r="J956">
        <v>70</v>
      </c>
      <c r="K956">
        <v>0</v>
      </c>
      <c r="L956">
        <v>0</v>
      </c>
      <c r="M956">
        <v>30</v>
      </c>
      <c r="N956">
        <v>0</v>
      </c>
      <c r="O956">
        <v>0</v>
      </c>
      <c r="P956">
        <v>0</v>
      </c>
      <c r="Q956">
        <v>0</v>
      </c>
      <c r="R956">
        <v>9</v>
      </c>
      <c r="S956">
        <v>63</v>
      </c>
      <c r="T956">
        <v>0</v>
      </c>
      <c r="V956">
        <v>0</v>
      </c>
      <c r="W956">
        <v>1248</v>
      </c>
    </row>
    <row r="957" spans="1:23" x14ac:dyDescent="0.25">
      <c r="H957">
        <v>400</v>
      </c>
    </row>
    <row r="958" spans="1:23" x14ac:dyDescent="0.25">
      <c r="A958">
        <v>476</v>
      </c>
      <c r="B958">
        <v>564</v>
      </c>
      <c r="C958" t="s">
        <v>1472</v>
      </c>
      <c r="D958" t="s">
        <v>187</v>
      </c>
      <c r="E958" t="s">
        <v>523</v>
      </c>
      <c r="F958" t="s">
        <v>1473</v>
      </c>
      <c r="G958" t="str">
        <f>"00200498"</f>
        <v>00200498</v>
      </c>
      <c r="H958">
        <v>924</v>
      </c>
      <c r="I958">
        <v>0</v>
      </c>
      <c r="J958">
        <v>30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42</v>
      </c>
      <c r="S958">
        <v>294</v>
      </c>
      <c r="T958">
        <v>0</v>
      </c>
      <c r="V958">
        <v>0</v>
      </c>
      <c r="W958">
        <v>1248</v>
      </c>
    </row>
    <row r="959" spans="1:23" x14ac:dyDescent="0.25">
      <c r="H959">
        <v>400</v>
      </c>
    </row>
    <row r="960" spans="1:23" x14ac:dyDescent="0.25">
      <c r="A960">
        <v>477</v>
      </c>
      <c r="B960">
        <v>578</v>
      </c>
      <c r="C960" t="s">
        <v>1474</v>
      </c>
      <c r="D960" t="s">
        <v>180</v>
      </c>
      <c r="E960" t="s">
        <v>195</v>
      </c>
      <c r="F960" t="s">
        <v>1475</v>
      </c>
      <c r="G960" t="str">
        <f>"00028781"</f>
        <v>00028781</v>
      </c>
      <c r="H960">
        <v>1001</v>
      </c>
      <c r="I960">
        <v>0</v>
      </c>
      <c r="J960">
        <v>50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28</v>
      </c>
      <c r="S960">
        <v>196</v>
      </c>
      <c r="T960">
        <v>0</v>
      </c>
      <c r="V960">
        <v>0</v>
      </c>
      <c r="W960">
        <v>1247</v>
      </c>
    </row>
    <row r="961" spans="1:23" x14ac:dyDescent="0.25">
      <c r="H961" t="s">
        <v>76</v>
      </c>
    </row>
    <row r="962" spans="1:23" x14ac:dyDescent="0.25">
      <c r="A962">
        <v>478</v>
      </c>
      <c r="B962">
        <v>1868</v>
      </c>
      <c r="C962" t="s">
        <v>1476</v>
      </c>
      <c r="D962" t="s">
        <v>27</v>
      </c>
      <c r="E962" t="s">
        <v>82</v>
      </c>
      <c r="F962" t="s">
        <v>1477</v>
      </c>
      <c r="G962" t="str">
        <f>"201411003333"</f>
        <v>201411003333</v>
      </c>
      <c r="H962">
        <v>990</v>
      </c>
      <c r="I962">
        <v>150</v>
      </c>
      <c r="J962">
        <v>30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11</v>
      </c>
      <c r="S962">
        <v>77</v>
      </c>
      <c r="T962">
        <v>0</v>
      </c>
      <c r="V962">
        <v>0</v>
      </c>
      <c r="W962">
        <v>1247</v>
      </c>
    </row>
    <row r="963" spans="1:23" x14ac:dyDescent="0.25">
      <c r="H963">
        <v>400</v>
      </c>
    </row>
    <row r="964" spans="1:23" x14ac:dyDescent="0.25">
      <c r="A964">
        <v>479</v>
      </c>
      <c r="B964">
        <v>1166</v>
      </c>
      <c r="C964" t="s">
        <v>1478</v>
      </c>
      <c r="D964" t="s">
        <v>106</v>
      </c>
      <c r="E964" t="s">
        <v>705</v>
      </c>
      <c r="F964" t="s">
        <v>1479</v>
      </c>
      <c r="G964" t="str">
        <f>"201304002959"</f>
        <v>201304002959</v>
      </c>
      <c r="H964">
        <v>935</v>
      </c>
      <c r="I964">
        <v>150</v>
      </c>
      <c r="J964">
        <v>50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16</v>
      </c>
      <c r="S964">
        <v>112</v>
      </c>
      <c r="T964">
        <v>0</v>
      </c>
      <c r="V964">
        <v>0</v>
      </c>
      <c r="W964">
        <v>1247</v>
      </c>
    </row>
    <row r="965" spans="1:23" x14ac:dyDescent="0.25">
      <c r="H965">
        <v>400</v>
      </c>
    </row>
    <row r="966" spans="1:23" x14ac:dyDescent="0.25">
      <c r="A966">
        <v>480</v>
      </c>
      <c r="B966">
        <v>1482</v>
      </c>
      <c r="C966" t="s">
        <v>1480</v>
      </c>
      <c r="D966" t="s">
        <v>610</v>
      </c>
      <c r="E966" t="s">
        <v>71</v>
      </c>
      <c r="F966" t="s">
        <v>1481</v>
      </c>
      <c r="G966" t="str">
        <f>"00162939"</f>
        <v>00162939</v>
      </c>
      <c r="H966" t="s">
        <v>307</v>
      </c>
      <c r="I966">
        <v>0</v>
      </c>
      <c r="J966">
        <v>70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51</v>
      </c>
      <c r="S966">
        <v>357</v>
      </c>
      <c r="T966">
        <v>0</v>
      </c>
      <c r="V966">
        <v>0</v>
      </c>
      <c r="W966" t="s">
        <v>1482</v>
      </c>
    </row>
    <row r="967" spans="1:23" x14ac:dyDescent="0.25">
      <c r="H967">
        <v>400</v>
      </c>
    </row>
    <row r="968" spans="1:23" x14ac:dyDescent="0.25">
      <c r="A968">
        <v>481</v>
      </c>
      <c r="B968">
        <v>983</v>
      </c>
      <c r="C968" t="s">
        <v>1483</v>
      </c>
      <c r="D968" t="s">
        <v>1484</v>
      </c>
      <c r="E968" t="s">
        <v>283</v>
      </c>
      <c r="F968" t="s">
        <v>1485</v>
      </c>
      <c r="G968" t="str">
        <f>"00217582"</f>
        <v>00217582</v>
      </c>
      <c r="H968" t="s">
        <v>410</v>
      </c>
      <c r="I968">
        <v>0</v>
      </c>
      <c r="J968">
        <v>50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30</v>
      </c>
      <c r="S968">
        <v>210</v>
      </c>
      <c r="T968">
        <v>0</v>
      </c>
      <c r="V968">
        <v>1</v>
      </c>
      <c r="W968" t="s">
        <v>1486</v>
      </c>
    </row>
    <row r="969" spans="1:23" x14ac:dyDescent="0.25">
      <c r="H969">
        <v>400</v>
      </c>
    </row>
    <row r="970" spans="1:23" x14ac:dyDescent="0.25">
      <c r="A970">
        <v>482</v>
      </c>
      <c r="B970">
        <v>862</v>
      </c>
      <c r="C970" t="s">
        <v>1487</v>
      </c>
      <c r="D970" t="s">
        <v>180</v>
      </c>
      <c r="E970" t="s">
        <v>27</v>
      </c>
      <c r="F970" t="s">
        <v>1488</v>
      </c>
      <c r="G970" t="str">
        <f>"201512001237"</f>
        <v>201512001237</v>
      </c>
      <c r="H970" t="s">
        <v>603</v>
      </c>
      <c r="I970">
        <v>0</v>
      </c>
      <c r="J970">
        <v>70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46</v>
      </c>
      <c r="S970">
        <v>322</v>
      </c>
      <c r="T970">
        <v>0</v>
      </c>
      <c r="V970">
        <v>0</v>
      </c>
      <c r="W970" t="s">
        <v>1486</v>
      </c>
    </row>
    <row r="971" spans="1:23" x14ac:dyDescent="0.25">
      <c r="H971">
        <v>400</v>
      </c>
    </row>
    <row r="972" spans="1:23" x14ac:dyDescent="0.25">
      <c r="A972">
        <v>483</v>
      </c>
      <c r="B972">
        <v>556</v>
      </c>
      <c r="C972" t="s">
        <v>543</v>
      </c>
      <c r="D972" t="s">
        <v>1489</v>
      </c>
      <c r="E972" t="s">
        <v>209</v>
      </c>
      <c r="F972" t="s">
        <v>1490</v>
      </c>
      <c r="G972" t="str">
        <f>"201412002219"</f>
        <v>201412002219</v>
      </c>
      <c r="H972" t="s">
        <v>226</v>
      </c>
      <c r="I972">
        <v>0</v>
      </c>
      <c r="J972">
        <v>70</v>
      </c>
      <c r="K972">
        <v>30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29</v>
      </c>
      <c r="S972">
        <v>203</v>
      </c>
      <c r="T972">
        <v>0</v>
      </c>
      <c r="V972">
        <v>0</v>
      </c>
      <c r="W972" t="s">
        <v>1491</v>
      </c>
    </row>
    <row r="973" spans="1:23" x14ac:dyDescent="0.25">
      <c r="H973">
        <v>400</v>
      </c>
    </row>
    <row r="974" spans="1:23" x14ac:dyDescent="0.25">
      <c r="A974">
        <v>484</v>
      </c>
      <c r="B974">
        <v>1148</v>
      </c>
      <c r="C974" t="s">
        <v>1492</v>
      </c>
      <c r="D974" t="s">
        <v>125</v>
      </c>
      <c r="E974" t="s">
        <v>27</v>
      </c>
      <c r="F974" t="s">
        <v>1493</v>
      </c>
      <c r="G974" t="str">
        <f>"201411000969"</f>
        <v>201411000969</v>
      </c>
      <c r="H974">
        <v>891</v>
      </c>
      <c r="I974">
        <v>0</v>
      </c>
      <c r="J974">
        <v>70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36</v>
      </c>
      <c r="S974">
        <v>252</v>
      </c>
      <c r="T974">
        <v>0</v>
      </c>
      <c r="V974">
        <v>0</v>
      </c>
      <c r="W974">
        <v>1243</v>
      </c>
    </row>
    <row r="975" spans="1:23" x14ac:dyDescent="0.25">
      <c r="H975">
        <v>400</v>
      </c>
    </row>
    <row r="976" spans="1:23" x14ac:dyDescent="0.25">
      <c r="A976">
        <v>485</v>
      </c>
      <c r="B976">
        <v>867</v>
      </c>
      <c r="C976" t="s">
        <v>1494</v>
      </c>
      <c r="D976" t="s">
        <v>298</v>
      </c>
      <c r="E976" t="s">
        <v>1495</v>
      </c>
      <c r="F976" t="s">
        <v>1496</v>
      </c>
      <c r="G976" t="str">
        <f>"00113639"</f>
        <v>00113639</v>
      </c>
      <c r="H976" t="s">
        <v>114</v>
      </c>
      <c r="I976">
        <v>0</v>
      </c>
      <c r="J976">
        <v>30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42</v>
      </c>
      <c r="S976">
        <v>294</v>
      </c>
      <c r="T976">
        <v>0</v>
      </c>
      <c r="V976">
        <v>0</v>
      </c>
      <c r="W976" t="s">
        <v>1497</v>
      </c>
    </row>
    <row r="977" spans="1:23" x14ac:dyDescent="0.25">
      <c r="H977">
        <v>400</v>
      </c>
    </row>
    <row r="978" spans="1:23" x14ac:dyDescent="0.25">
      <c r="A978">
        <v>486</v>
      </c>
      <c r="B978">
        <v>1377</v>
      </c>
      <c r="C978" t="s">
        <v>1498</v>
      </c>
      <c r="D978" t="s">
        <v>1163</v>
      </c>
      <c r="E978" t="s">
        <v>27</v>
      </c>
      <c r="F978" t="s">
        <v>1499</v>
      </c>
      <c r="G978" t="str">
        <f>"201406002751"</f>
        <v>201406002751</v>
      </c>
      <c r="H978">
        <v>825</v>
      </c>
      <c r="I978">
        <v>150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70</v>
      </c>
      <c r="P978">
        <v>0</v>
      </c>
      <c r="Q978">
        <v>0</v>
      </c>
      <c r="R978">
        <v>28</v>
      </c>
      <c r="S978">
        <v>196</v>
      </c>
      <c r="T978">
        <v>0</v>
      </c>
      <c r="V978">
        <v>0</v>
      </c>
      <c r="W978">
        <v>1241</v>
      </c>
    </row>
    <row r="979" spans="1:23" x14ac:dyDescent="0.25">
      <c r="H979">
        <v>400</v>
      </c>
    </row>
    <row r="980" spans="1:23" x14ac:dyDescent="0.25">
      <c r="A980">
        <v>487</v>
      </c>
      <c r="B980">
        <v>529</v>
      </c>
      <c r="C980" t="s">
        <v>1500</v>
      </c>
      <c r="D980" t="s">
        <v>111</v>
      </c>
      <c r="E980" t="s">
        <v>1501</v>
      </c>
      <c r="F980" t="s">
        <v>1502</v>
      </c>
      <c r="G980" t="str">
        <f>"00209068"</f>
        <v>00209068</v>
      </c>
      <c r="H980" t="s">
        <v>603</v>
      </c>
      <c r="I980">
        <v>150</v>
      </c>
      <c r="J980">
        <v>70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24</v>
      </c>
      <c r="S980">
        <v>168</v>
      </c>
      <c r="T980">
        <v>0</v>
      </c>
      <c r="V980">
        <v>0</v>
      </c>
      <c r="W980" t="s">
        <v>1503</v>
      </c>
    </row>
    <row r="981" spans="1:23" x14ac:dyDescent="0.25">
      <c r="H981">
        <v>400</v>
      </c>
    </row>
    <row r="982" spans="1:23" x14ac:dyDescent="0.25">
      <c r="A982">
        <v>488</v>
      </c>
      <c r="B982">
        <v>1477</v>
      </c>
      <c r="C982" t="s">
        <v>1504</v>
      </c>
      <c r="D982" t="s">
        <v>880</v>
      </c>
      <c r="E982" t="s">
        <v>158</v>
      </c>
      <c r="F982" t="s">
        <v>1505</v>
      </c>
      <c r="G982" t="str">
        <f>"00125897"</f>
        <v>00125897</v>
      </c>
      <c r="H982" t="s">
        <v>1506</v>
      </c>
      <c r="I982">
        <v>0</v>
      </c>
      <c r="J982">
        <v>30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65</v>
      </c>
      <c r="S982">
        <v>455</v>
      </c>
      <c r="T982">
        <v>0</v>
      </c>
      <c r="V982">
        <v>0</v>
      </c>
      <c r="W982" t="s">
        <v>1507</v>
      </c>
    </row>
    <row r="983" spans="1:23" x14ac:dyDescent="0.25">
      <c r="H983">
        <v>400</v>
      </c>
    </row>
    <row r="984" spans="1:23" x14ac:dyDescent="0.25">
      <c r="A984">
        <v>489</v>
      </c>
      <c r="B984">
        <v>1665</v>
      </c>
      <c r="C984" t="s">
        <v>1133</v>
      </c>
      <c r="D984" t="s">
        <v>177</v>
      </c>
      <c r="E984" t="s">
        <v>15</v>
      </c>
      <c r="F984" t="s">
        <v>1508</v>
      </c>
      <c r="G984" t="str">
        <f>"00091286"</f>
        <v>00091286</v>
      </c>
      <c r="H984" t="s">
        <v>394</v>
      </c>
      <c r="I984">
        <v>0</v>
      </c>
      <c r="J984">
        <v>70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39</v>
      </c>
      <c r="S984">
        <v>273</v>
      </c>
      <c r="T984">
        <v>0</v>
      </c>
      <c r="V984">
        <v>0</v>
      </c>
      <c r="W984" t="s">
        <v>1509</v>
      </c>
    </row>
    <row r="985" spans="1:23" x14ac:dyDescent="0.25">
      <c r="H985">
        <v>400</v>
      </c>
    </row>
    <row r="986" spans="1:23" x14ac:dyDescent="0.25">
      <c r="A986">
        <v>490</v>
      </c>
      <c r="B986">
        <v>726</v>
      </c>
      <c r="C986" t="s">
        <v>1510</v>
      </c>
      <c r="D986" t="s">
        <v>157</v>
      </c>
      <c r="E986" t="s">
        <v>59</v>
      </c>
      <c r="F986" t="s">
        <v>1511</v>
      </c>
      <c r="G986" t="str">
        <f>"201406018962"</f>
        <v>201406018962</v>
      </c>
      <c r="H986" t="s">
        <v>1512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84</v>
      </c>
      <c r="S986">
        <v>588</v>
      </c>
      <c r="T986">
        <v>0</v>
      </c>
      <c r="V986">
        <v>0</v>
      </c>
      <c r="W986" t="s">
        <v>1513</v>
      </c>
    </row>
    <row r="987" spans="1:23" x14ac:dyDescent="0.25">
      <c r="H987" t="s">
        <v>76</v>
      </c>
    </row>
    <row r="988" spans="1:23" x14ac:dyDescent="0.25">
      <c r="A988">
        <v>491</v>
      </c>
      <c r="B988">
        <v>591</v>
      </c>
      <c r="C988" t="s">
        <v>1514</v>
      </c>
      <c r="D988" t="s">
        <v>1515</v>
      </c>
      <c r="E988" t="s">
        <v>1516</v>
      </c>
      <c r="F988" t="s">
        <v>1517</v>
      </c>
      <c r="G988" t="str">
        <f>"00217458"</f>
        <v>00217458</v>
      </c>
      <c r="H988">
        <v>891</v>
      </c>
      <c r="I988">
        <v>150</v>
      </c>
      <c r="J988">
        <v>30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24</v>
      </c>
      <c r="S988">
        <v>168</v>
      </c>
      <c r="T988">
        <v>0</v>
      </c>
      <c r="V988">
        <v>0</v>
      </c>
      <c r="W988">
        <v>1239</v>
      </c>
    </row>
    <row r="989" spans="1:23" x14ac:dyDescent="0.25">
      <c r="H989">
        <v>400</v>
      </c>
    </row>
    <row r="990" spans="1:23" x14ac:dyDescent="0.25">
      <c r="A990">
        <v>492</v>
      </c>
      <c r="B990">
        <v>381</v>
      </c>
      <c r="C990" t="s">
        <v>1518</v>
      </c>
      <c r="D990" t="s">
        <v>1519</v>
      </c>
      <c r="E990" t="s">
        <v>1520</v>
      </c>
      <c r="F990" t="s">
        <v>1521</v>
      </c>
      <c r="G990" t="str">
        <f>"201406004347"</f>
        <v>201406004347</v>
      </c>
      <c r="H990" t="s">
        <v>603</v>
      </c>
      <c r="I990">
        <v>0</v>
      </c>
      <c r="J990">
        <v>70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45</v>
      </c>
      <c r="S990">
        <v>315</v>
      </c>
      <c r="T990">
        <v>0</v>
      </c>
      <c r="V990">
        <v>0</v>
      </c>
      <c r="W990" t="s">
        <v>1522</v>
      </c>
    </row>
    <row r="991" spans="1:23" x14ac:dyDescent="0.25">
      <c r="H991">
        <v>400</v>
      </c>
    </row>
    <row r="992" spans="1:23" x14ac:dyDescent="0.25">
      <c r="A992">
        <v>493</v>
      </c>
      <c r="B992">
        <v>1051</v>
      </c>
      <c r="C992" t="s">
        <v>1523</v>
      </c>
      <c r="D992" t="s">
        <v>15</v>
      </c>
      <c r="E992" t="s">
        <v>49</v>
      </c>
      <c r="F992" t="s">
        <v>1524</v>
      </c>
      <c r="G992" t="str">
        <f>"00215770"</f>
        <v>00215770</v>
      </c>
      <c r="H992" t="s">
        <v>1317</v>
      </c>
      <c r="I992">
        <v>0</v>
      </c>
      <c r="J992">
        <v>30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68</v>
      </c>
      <c r="S992">
        <v>476</v>
      </c>
      <c r="T992">
        <v>0</v>
      </c>
      <c r="V992">
        <v>0</v>
      </c>
      <c r="W992" t="s">
        <v>1522</v>
      </c>
    </row>
    <row r="993" spans="1:23" x14ac:dyDescent="0.25">
      <c r="H993">
        <v>400</v>
      </c>
    </row>
    <row r="994" spans="1:23" x14ac:dyDescent="0.25">
      <c r="A994">
        <v>494</v>
      </c>
      <c r="B994">
        <v>157</v>
      </c>
      <c r="C994" t="s">
        <v>1525</v>
      </c>
      <c r="D994" t="s">
        <v>1526</v>
      </c>
      <c r="E994" t="s">
        <v>163</v>
      </c>
      <c r="F994" t="s">
        <v>1527</v>
      </c>
      <c r="G994" t="str">
        <f>"00039633"</f>
        <v>00039633</v>
      </c>
      <c r="H994" t="s">
        <v>1528</v>
      </c>
      <c r="I994">
        <v>150</v>
      </c>
      <c r="J994">
        <v>30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16</v>
      </c>
      <c r="S994">
        <v>112</v>
      </c>
      <c r="T994">
        <v>0</v>
      </c>
      <c r="V994">
        <v>0</v>
      </c>
      <c r="W994" t="s">
        <v>1529</v>
      </c>
    </row>
    <row r="995" spans="1:23" x14ac:dyDescent="0.25">
      <c r="H995">
        <v>400</v>
      </c>
    </row>
    <row r="996" spans="1:23" x14ac:dyDescent="0.25">
      <c r="A996">
        <v>495</v>
      </c>
      <c r="B996">
        <v>88</v>
      </c>
      <c r="C996" t="s">
        <v>1530</v>
      </c>
      <c r="D996" t="s">
        <v>27</v>
      </c>
      <c r="E996" t="s">
        <v>49</v>
      </c>
      <c r="F996" t="s">
        <v>1531</v>
      </c>
      <c r="G996" t="str">
        <f>"201502003170"</f>
        <v>201502003170</v>
      </c>
      <c r="H996">
        <v>935</v>
      </c>
      <c r="I996">
        <v>0</v>
      </c>
      <c r="J996">
        <v>70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33</v>
      </c>
      <c r="S996">
        <v>231</v>
      </c>
      <c r="T996">
        <v>0</v>
      </c>
      <c r="V996">
        <v>0</v>
      </c>
      <c r="W996">
        <v>1236</v>
      </c>
    </row>
    <row r="997" spans="1:23" x14ac:dyDescent="0.25">
      <c r="H997">
        <v>400</v>
      </c>
    </row>
    <row r="998" spans="1:23" x14ac:dyDescent="0.25">
      <c r="A998">
        <v>496</v>
      </c>
      <c r="B998">
        <v>736</v>
      </c>
      <c r="C998" t="s">
        <v>508</v>
      </c>
      <c r="D998" t="s">
        <v>97</v>
      </c>
      <c r="E998" t="s">
        <v>49</v>
      </c>
      <c r="F998" t="s">
        <v>1532</v>
      </c>
      <c r="G998" t="str">
        <f>"00108913"</f>
        <v>00108913</v>
      </c>
      <c r="H998">
        <v>803</v>
      </c>
      <c r="I998">
        <v>0</v>
      </c>
      <c r="J998">
        <v>30</v>
      </c>
      <c r="K998">
        <v>0</v>
      </c>
      <c r="L998">
        <v>30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53</v>
      </c>
      <c r="S998">
        <v>371</v>
      </c>
      <c r="T998">
        <v>0</v>
      </c>
      <c r="V998">
        <v>2</v>
      </c>
      <c r="W998">
        <v>1234</v>
      </c>
    </row>
    <row r="999" spans="1:23" x14ac:dyDescent="0.25">
      <c r="H999">
        <v>400</v>
      </c>
    </row>
    <row r="1000" spans="1:23" x14ac:dyDescent="0.25">
      <c r="A1000">
        <v>497</v>
      </c>
      <c r="B1000">
        <v>658</v>
      </c>
      <c r="C1000" t="s">
        <v>1533</v>
      </c>
      <c r="D1000" t="s">
        <v>241</v>
      </c>
      <c r="E1000" t="s">
        <v>15</v>
      </c>
      <c r="F1000" t="s">
        <v>1534</v>
      </c>
      <c r="G1000" t="str">
        <f>"201406008976"</f>
        <v>201406008976</v>
      </c>
      <c r="H1000" t="s">
        <v>84</v>
      </c>
      <c r="I1000">
        <v>0</v>
      </c>
      <c r="J1000">
        <v>70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16</v>
      </c>
      <c r="S1000">
        <v>112</v>
      </c>
      <c r="T1000">
        <v>0</v>
      </c>
      <c r="V1000">
        <v>2</v>
      </c>
      <c r="W1000" t="s">
        <v>1535</v>
      </c>
    </row>
    <row r="1001" spans="1:23" x14ac:dyDescent="0.25">
      <c r="H1001">
        <v>400</v>
      </c>
    </row>
    <row r="1002" spans="1:23" x14ac:dyDescent="0.25">
      <c r="A1002">
        <v>498</v>
      </c>
      <c r="B1002">
        <v>1608</v>
      </c>
      <c r="C1002" t="s">
        <v>1536</v>
      </c>
      <c r="D1002" t="s">
        <v>298</v>
      </c>
      <c r="E1002" t="s">
        <v>59</v>
      </c>
      <c r="F1002" t="s">
        <v>1537</v>
      </c>
      <c r="G1002" t="str">
        <f>"201405000021"</f>
        <v>201405000021</v>
      </c>
      <c r="H1002">
        <v>803</v>
      </c>
      <c r="I1002">
        <v>0</v>
      </c>
      <c r="J1002">
        <v>50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54</v>
      </c>
      <c r="S1002">
        <v>378</v>
      </c>
      <c r="T1002">
        <v>0</v>
      </c>
      <c r="V1002">
        <v>0</v>
      </c>
      <c r="W1002">
        <v>1231</v>
      </c>
    </row>
    <row r="1003" spans="1:23" x14ac:dyDescent="0.25">
      <c r="H1003">
        <v>400</v>
      </c>
    </row>
    <row r="1004" spans="1:23" x14ac:dyDescent="0.25">
      <c r="A1004">
        <v>499</v>
      </c>
      <c r="B1004">
        <v>883</v>
      </c>
      <c r="C1004" t="s">
        <v>1538</v>
      </c>
      <c r="D1004" t="s">
        <v>212</v>
      </c>
      <c r="E1004" t="s">
        <v>71</v>
      </c>
      <c r="F1004" t="s">
        <v>1539</v>
      </c>
      <c r="G1004" t="str">
        <f>"201402012513"</f>
        <v>201402012513</v>
      </c>
      <c r="H1004" t="s">
        <v>218</v>
      </c>
      <c r="I1004">
        <v>150</v>
      </c>
      <c r="J1004">
        <v>50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27</v>
      </c>
      <c r="S1004">
        <v>189</v>
      </c>
      <c r="T1004">
        <v>0</v>
      </c>
      <c r="V1004">
        <v>2</v>
      </c>
      <c r="W1004" t="s">
        <v>1540</v>
      </c>
    </row>
    <row r="1005" spans="1:23" x14ac:dyDescent="0.25">
      <c r="H1005">
        <v>400</v>
      </c>
    </row>
    <row r="1006" spans="1:23" x14ac:dyDescent="0.25">
      <c r="A1006">
        <v>500</v>
      </c>
      <c r="B1006">
        <v>132</v>
      </c>
      <c r="C1006" t="s">
        <v>1541</v>
      </c>
      <c r="D1006" t="s">
        <v>1542</v>
      </c>
      <c r="E1006" t="s">
        <v>49</v>
      </c>
      <c r="F1006" t="s">
        <v>1543</v>
      </c>
      <c r="G1006" t="str">
        <f>"00012600"</f>
        <v>00012600</v>
      </c>
      <c r="H1006" t="s">
        <v>235</v>
      </c>
      <c r="I1006">
        <v>0</v>
      </c>
      <c r="J1006">
        <v>30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29</v>
      </c>
      <c r="S1006">
        <v>203</v>
      </c>
      <c r="T1006">
        <v>0</v>
      </c>
      <c r="V1006">
        <v>0</v>
      </c>
      <c r="W1006" t="s">
        <v>1544</v>
      </c>
    </row>
    <row r="1007" spans="1:23" x14ac:dyDescent="0.25">
      <c r="H1007">
        <v>400</v>
      </c>
    </row>
    <row r="1008" spans="1:23" x14ac:dyDescent="0.25">
      <c r="A1008">
        <v>501</v>
      </c>
      <c r="B1008">
        <v>357</v>
      </c>
      <c r="C1008" t="s">
        <v>1545</v>
      </c>
      <c r="D1008" t="s">
        <v>1546</v>
      </c>
      <c r="E1008" t="s">
        <v>299</v>
      </c>
      <c r="F1008" t="s">
        <v>1547</v>
      </c>
      <c r="G1008" t="str">
        <f>"00179302"</f>
        <v>00179302</v>
      </c>
      <c r="H1008" t="s">
        <v>1317</v>
      </c>
      <c r="I1008">
        <v>0</v>
      </c>
      <c r="J1008">
        <v>70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61</v>
      </c>
      <c r="S1008">
        <v>427</v>
      </c>
      <c r="T1008">
        <v>0</v>
      </c>
      <c r="V1008">
        <v>1</v>
      </c>
      <c r="W1008" t="s">
        <v>1544</v>
      </c>
    </row>
    <row r="1009" spans="1:23" x14ac:dyDescent="0.25">
      <c r="H1009">
        <v>400</v>
      </c>
    </row>
    <row r="1010" spans="1:23" x14ac:dyDescent="0.25">
      <c r="A1010">
        <v>502</v>
      </c>
      <c r="B1010">
        <v>1219</v>
      </c>
      <c r="C1010" t="s">
        <v>1548</v>
      </c>
      <c r="D1010" t="s">
        <v>50</v>
      </c>
      <c r="E1010" t="s">
        <v>1045</v>
      </c>
      <c r="F1010" t="s">
        <v>1549</v>
      </c>
      <c r="G1010" t="str">
        <f>"00216567"</f>
        <v>00216567</v>
      </c>
      <c r="H1010">
        <v>880</v>
      </c>
      <c r="I1010">
        <v>150</v>
      </c>
      <c r="J1010">
        <v>30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24</v>
      </c>
      <c r="S1010">
        <v>168</v>
      </c>
      <c r="T1010">
        <v>0</v>
      </c>
      <c r="V1010">
        <v>0</v>
      </c>
      <c r="W1010">
        <v>1228</v>
      </c>
    </row>
    <row r="1011" spans="1:23" x14ac:dyDescent="0.25">
      <c r="H1011">
        <v>400</v>
      </c>
    </row>
    <row r="1012" spans="1:23" x14ac:dyDescent="0.25">
      <c r="A1012">
        <v>503</v>
      </c>
      <c r="B1012">
        <v>1886</v>
      </c>
      <c r="C1012" t="s">
        <v>73</v>
      </c>
      <c r="D1012" t="s">
        <v>180</v>
      </c>
      <c r="E1012" t="s">
        <v>200</v>
      </c>
      <c r="F1012" t="s">
        <v>1550</v>
      </c>
      <c r="G1012" t="str">
        <f>"201412000724"</f>
        <v>201412000724</v>
      </c>
      <c r="H1012" t="s">
        <v>437</v>
      </c>
      <c r="I1012">
        <v>0</v>
      </c>
      <c r="J1012">
        <v>30</v>
      </c>
      <c r="K1012">
        <v>0</v>
      </c>
      <c r="L1012">
        <v>50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37</v>
      </c>
      <c r="S1012">
        <v>259</v>
      </c>
      <c r="T1012">
        <v>0</v>
      </c>
      <c r="V1012">
        <v>0</v>
      </c>
      <c r="W1012" t="s">
        <v>1551</v>
      </c>
    </row>
    <row r="1013" spans="1:23" x14ac:dyDescent="0.25">
      <c r="H1013">
        <v>400</v>
      </c>
    </row>
    <row r="1014" spans="1:23" x14ac:dyDescent="0.25">
      <c r="A1014">
        <v>504</v>
      </c>
      <c r="B1014">
        <v>1783</v>
      </c>
      <c r="C1014" t="s">
        <v>1552</v>
      </c>
      <c r="D1014" t="s">
        <v>1553</v>
      </c>
      <c r="E1014" t="s">
        <v>291</v>
      </c>
      <c r="F1014" t="s">
        <v>1554</v>
      </c>
      <c r="G1014" t="str">
        <f>"00013955"</f>
        <v>00013955</v>
      </c>
      <c r="H1014">
        <v>1056</v>
      </c>
      <c r="I1014">
        <v>0</v>
      </c>
      <c r="J1014">
        <v>70</v>
      </c>
      <c r="K1014">
        <v>0</v>
      </c>
      <c r="L1014">
        <v>70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4</v>
      </c>
      <c r="S1014">
        <v>28</v>
      </c>
      <c r="T1014">
        <v>0</v>
      </c>
      <c r="V1014">
        <v>0</v>
      </c>
      <c r="W1014">
        <v>1224</v>
      </c>
    </row>
    <row r="1015" spans="1:23" x14ac:dyDescent="0.25">
      <c r="H1015">
        <v>400</v>
      </c>
    </row>
    <row r="1016" spans="1:23" x14ac:dyDescent="0.25">
      <c r="A1016">
        <v>505</v>
      </c>
      <c r="B1016">
        <v>810</v>
      </c>
      <c r="C1016" t="s">
        <v>751</v>
      </c>
      <c r="D1016" t="s">
        <v>1555</v>
      </c>
      <c r="E1016" t="s">
        <v>291</v>
      </c>
      <c r="F1016" t="s">
        <v>1556</v>
      </c>
      <c r="G1016" t="str">
        <f>"201412003804"</f>
        <v>201412003804</v>
      </c>
      <c r="H1016" t="s">
        <v>1557</v>
      </c>
      <c r="I1016">
        <v>0</v>
      </c>
      <c r="J1016">
        <v>30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58</v>
      </c>
      <c r="S1016">
        <v>406</v>
      </c>
      <c r="T1016">
        <v>0</v>
      </c>
      <c r="V1016">
        <v>0</v>
      </c>
      <c r="W1016" t="s">
        <v>1558</v>
      </c>
    </row>
    <row r="1017" spans="1:23" x14ac:dyDescent="0.25">
      <c r="H1017">
        <v>400</v>
      </c>
    </row>
    <row r="1018" spans="1:23" x14ac:dyDescent="0.25">
      <c r="A1018">
        <v>506</v>
      </c>
      <c r="B1018">
        <v>58</v>
      </c>
      <c r="C1018" t="s">
        <v>1559</v>
      </c>
      <c r="D1018" t="s">
        <v>192</v>
      </c>
      <c r="E1018" t="s">
        <v>106</v>
      </c>
      <c r="F1018" t="s">
        <v>1560</v>
      </c>
      <c r="G1018" t="str">
        <f>"00213071"</f>
        <v>00213071</v>
      </c>
      <c r="H1018" t="s">
        <v>194</v>
      </c>
      <c r="I1018">
        <v>0</v>
      </c>
      <c r="J1018">
        <v>30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33</v>
      </c>
      <c r="S1018">
        <v>231</v>
      </c>
      <c r="T1018">
        <v>0</v>
      </c>
      <c r="V1018">
        <v>0</v>
      </c>
      <c r="W1018" t="s">
        <v>1561</v>
      </c>
    </row>
    <row r="1019" spans="1:23" x14ac:dyDescent="0.25">
      <c r="H1019">
        <v>400</v>
      </c>
    </row>
    <row r="1020" spans="1:23" x14ac:dyDescent="0.25">
      <c r="A1020">
        <v>507</v>
      </c>
      <c r="B1020">
        <v>177</v>
      </c>
      <c r="C1020" t="s">
        <v>1562</v>
      </c>
      <c r="D1020" t="s">
        <v>1563</v>
      </c>
      <c r="E1020" t="s">
        <v>209</v>
      </c>
      <c r="F1020" t="s">
        <v>1564</v>
      </c>
      <c r="G1020" t="str">
        <f>"201406015547"</f>
        <v>201406015547</v>
      </c>
      <c r="H1020">
        <v>605</v>
      </c>
      <c r="I1020">
        <v>0</v>
      </c>
      <c r="J1020">
        <v>30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84</v>
      </c>
      <c r="S1020">
        <v>588</v>
      </c>
      <c r="T1020">
        <v>0</v>
      </c>
      <c r="V1020">
        <v>0</v>
      </c>
      <c r="W1020">
        <v>1223</v>
      </c>
    </row>
    <row r="1021" spans="1:23" x14ac:dyDescent="0.25">
      <c r="H1021">
        <v>400</v>
      </c>
    </row>
    <row r="1022" spans="1:23" x14ac:dyDescent="0.25">
      <c r="A1022">
        <v>508</v>
      </c>
      <c r="B1022">
        <v>811</v>
      </c>
      <c r="C1022" t="s">
        <v>1565</v>
      </c>
      <c r="D1022" t="s">
        <v>1566</v>
      </c>
      <c r="E1022" t="s">
        <v>1096</v>
      </c>
      <c r="F1022" t="s">
        <v>1567</v>
      </c>
      <c r="G1022" t="str">
        <f>"201402008172"</f>
        <v>201402008172</v>
      </c>
      <c r="H1022">
        <v>814</v>
      </c>
      <c r="I1022">
        <v>0</v>
      </c>
      <c r="J1022">
        <v>30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54</v>
      </c>
      <c r="S1022">
        <v>378</v>
      </c>
      <c r="T1022">
        <v>0</v>
      </c>
      <c r="V1022">
        <v>0</v>
      </c>
      <c r="W1022">
        <v>1222</v>
      </c>
    </row>
    <row r="1023" spans="1:23" x14ac:dyDescent="0.25">
      <c r="H1023">
        <v>400</v>
      </c>
    </row>
    <row r="1024" spans="1:23" x14ac:dyDescent="0.25">
      <c r="A1024">
        <v>509</v>
      </c>
      <c r="B1024">
        <v>128</v>
      </c>
      <c r="C1024" t="s">
        <v>1568</v>
      </c>
      <c r="D1024" t="s">
        <v>401</v>
      </c>
      <c r="E1024" t="s">
        <v>50</v>
      </c>
      <c r="F1024" t="s">
        <v>1569</v>
      </c>
      <c r="G1024" t="str">
        <f>"201409000180"</f>
        <v>201409000180</v>
      </c>
      <c r="H1024" t="s">
        <v>194</v>
      </c>
      <c r="I1024">
        <v>0</v>
      </c>
      <c r="J1024">
        <v>70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27</v>
      </c>
      <c r="S1024">
        <v>189</v>
      </c>
      <c r="T1024">
        <v>0</v>
      </c>
      <c r="V1024">
        <v>0</v>
      </c>
      <c r="W1024" t="s">
        <v>1570</v>
      </c>
    </row>
    <row r="1025" spans="1:23" x14ac:dyDescent="0.25">
      <c r="H1025">
        <v>400</v>
      </c>
    </row>
    <row r="1026" spans="1:23" x14ac:dyDescent="0.25">
      <c r="A1026">
        <v>510</v>
      </c>
      <c r="B1026">
        <v>406</v>
      </c>
      <c r="C1026" t="s">
        <v>1571</v>
      </c>
      <c r="D1026" t="s">
        <v>177</v>
      </c>
      <c r="E1026" t="s">
        <v>263</v>
      </c>
      <c r="F1026" t="s">
        <v>1572</v>
      </c>
      <c r="G1026" t="str">
        <f>"00215484"</f>
        <v>00215484</v>
      </c>
      <c r="H1026" t="s">
        <v>114</v>
      </c>
      <c r="I1026">
        <v>0</v>
      </c>
      <c r="J1026">
        <v>30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39</v>
      </c>
      <c r="S1026">
        <v>273</v>
      </c>
      <c r="T1026">
        <v>0</v>
      </c>
      <c r="V1026">
        <v>0</v>
      </c>
      <c r="W1026" t="s">
        <v>1570</v>
      </c>
    </row>
    <row r="1027" spans="1:23" x14ac:dyDescent="0.25">
      <c r="H1027">
        <v>400</v>
      </c>
    </row>
    <row r="1028" spans="1:23" x14ac:dyDescent="0.25">
      <c r="A1028">
        <v>511</v>
      </c>
      <c r="B1028">
        <v>375</v>
      </c>
      <c r="C1028" t="s">
        <v>1573</v>
      </c>
      <c r="D1028" t="s">
        <v>177</v>
      </c>
      <c r="E1028" t="s">
        <v>158</v>
      </c>
      <c r="F1028" t="s">
        <v>1574</v>
      </c>
      <c r="G1028" t="str">
        <f>"201511019346"</f>
        <v>201511019346</v>
      </c>
      <c r="H1028">
        <v>792</v>
      </c>
      <c r="I1028">
        <v>0</v>
      </c>
      <c r="J1028">
        <v>30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57</v>
      </c>
      <c r="S1028">
        <v>399</v>
      </c>
      <c r="T1028">
        <v>0</v>
      </c>
      <c r="V1028">
        <v>0</v>
      </c>
      <c r="W1028">
        <v>1221</v>
      </c>
    </row>
    <row r="1029" spans="1:23" x14ac:dyDescent="0.25">
      <c r="H1029">
        <v>400</v>
      </c>
    </row>
    <row r="1030" spans="1:23" x14ac:dyDescent="0.25">
      <c r="A1030">
        <v>512</v>
      </c>
      <c r="B1030">
        <v>1571</v>
      </c>
      <c r="C1030" t="s">
        <v>1575</v>
      </c>
      <c r="D1030" t="s">
        <v>864</v>
      </c>
      <c r="E1030" t="s">
        <v>27</v>
      </c>
      <c r="F1030" t="s">
        <v>1576</v>
      </c>
      <c r="G1030" t="str">
        <f>"00215711"</f>
        <v>00215711</v>
      </c>
      <c r="H1030" t="s">
        <v>410</v>
      </c>
      <c r="I1030">
        <v>150</v>
      </c>
      <c r="J1030">
        <v>30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8</v>
      </c>
      <c r="S1030">
        <v>56</v>
      </c>
      <c r="T1030">
        <v>0</v>
      </c>
      <c r="V1030">
        <v>2</v>
      </c>
      <c r="W1030" t="s">
        <v>1577</v>
      </c>
    </row>
    <row r="1031" spans="1:23" x14ac:dyDescent="0.25">
      <c r="H1031" t="s">
        <v>76</v>
      </c>
    </row>
    <row r="1032" spans="1:23" x14ac:dyDescent="0.25">
      <c r="A1032">
        <v>513</v>
      </c>
      <c r="B1032">
        <v>391</v>
      </c>
      <c r="C1032" t="s">
        <v>1578</v>
      </c>
      <c r="D1032" t="s">
        <v>21</v>
      </c>
      <c r="E1032" t="s">
        <v>408</v>
      </c>
      <c r="F1032" t="s">
        <v>1579</v>
      </c>
      <c r="G1032" t="str">
        <f>"00217649"</f>
        <v>00217649</v>
      </c>
      <c r="H1032" t="s">
        <v>603</v>
      </c>
      <c r="I1032">
        <v>150</v>
      </c>
      <c r="J1032">
        <v>50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24</v>
      </c>
      <c r="S1032">
        <v>168</v>
      </c>
      <c r="T1032">
        <v>0</v>
      </c>
      <c r="V1032">
        <v>0</v>
      </c>
      <c r="W1032" t="s">
        <v>1577</v>
      </c>
    </row>
    <row r="1033" spans="1:23" x14ac:dyDescent="0.25">
      <c r="H1033">
        <v>400</v>
      </c>
    </row>
    <row r="1034" spans="1:23" x14ac:dyDescent="0.25">
      <c r="A1034">
        <v>514</v>
      </c>
      <c r="B1034">
        <v>977</v>
      </c>
      <c r="C1034" t="s">
        <v>1580</v>
      </c>
      <c r="D1034" t="s">
        <v>1581</v>
      </c>
      <c r="E1034" t="s">
        <v>209</v>
      </c>
      <c r="F1034" t="s">
        <v>1582</v>
      </c>
      <c r="G1034" t="str">
        <f>"201412006690"</f>
        <v>201412006690</v>
      </c>
      <c r="H1034">
        <v>836</v>
      </c>
      <c r="I1034">
        <v>0</v>
      </c>
      <c r="J1034">
        <v>30</v>
      </c>
      <c r="K1034">
        <v>30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46</v>
      </c>
      <c r="S1034">
        <v>322</v>
      </c>
      <c r="T1034">
        <v>0</v>
      </c>
      <c r="V1034">
        <v>0</v>
      </c>
      <c r="W1034">
        <v>1218</v>
      </c>
    </row>
    <row r="1035" spans="1:23" x14ac:dyDescent="0.25">
      <c r="H1035" t="s">
        <v>76</v>
      </c>
    </row>
    <row r="1036" spans="1:23" x14ac:dyDescent="0.25">
      <c r="A1036">
        <v>515</v>
      </c>
      <c r="B1036">
        <v>1306</v>
      </c>
      <c r="C1036" t="s">
        <v>1583</v>
      </c>
      <c r="D1036" t="s">
        <v>1584</v>
      </c>
      <c r="E1036" t="s">
        <v>21</v>
      </c>
      <c r="F1036" t="s">
        <v>1585</v>
      </c>
      <c r="G1036" t="str">
        <f>"00152020"</f>
        <v>00152020</v>
      </c>
      <c r="H1036">
        <v>968</v>
      </c>
      <c r="I1036">
        <v>0</v>
      </c>
      <c r="J1036">
        <v>30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31</v>
      </c>
      <c r="S1036">
        <v>217</v>
      </c>
      <c r="T1036">
        <v>0</v>
      </c>
      <c r="V1036">
        <v>1</v>
      </c>
      <c r="W1036">
        <v>1215</v>
      </c>
    </row>
    <row r="1037" spans="1:23" x14ac:dyDescent="0.25">
      <c r="H1037">
        <v>400</v>
      </c>
    </row>
    <row r="1038" spans="1:23" x14ac:dyDescent="0.25">
      <c r="A1038">
        <v>516</v>
      </c>
      <c r="B1038">
        <v>69</v>
      </c>
      <c r="C1038" t="s">
        <v>1586</v>
      </c>
      <c r="D1038" t="s">
        <v>27</v>
      </c>
      <c r="E1038" t="s">
        <v>15</v>
      </c>
      <c r="F1038" t="s">
        <v>1587</v>
      </c>
      <c r="G1038" t="str">
        <f>"00005179"</f>
        <v>00005179</v>
      </c>
      <c r="H1038">
        <v>924</v>
      </c>
      <c r="I1038">
        <v>0</v>
      </c>
      <c r="J1038">
        <v>50</v>
      </c>
      <c r="K1038">
        <v>0</v>
      </c>
      <c r="L1038">
        <v>30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30</v>
      </c>
      <c r="S1038">
        <v>210</v>
      </c>
      <c r="T1038">
        <v>0</v>
      </c>
      <c r="V1038">
        <v>0</v>
      </c>
      <c r="W1038">
        <v>1214</v>
      </c>
    </row>
    <row r="1039" spans="1:23" x14ac:dyDescent="0.25">
      <c r="H1039">
        <v>400</v>
      </c>
    </row>
    <row r="1040" spans="1:23" x14ac:dyDescent="0.25">
      <c r="A1040">
        <v>517</v>
      </c>
      <c r="B1040">
        <v>1620</v>
      </c>
      <c r="C1040" t="s">
        <v>1588</v>
      </c>
      <c r="D1040" t="s">
        <v>192</v>
      </c>
      <c r="E1040" t="s">
        <v>144</v>
      </c>
      <c r="F1040" t="s">
        <v>1589</v>
      </c>
      <c r="G1040" t="str">
        <f>"00217445"</f>
        <v>00217445</v>
      </c>
      <c r="H1040" t="s">
        <v>1209</v>
      </c>
      <c r="I1040">
        <v>150</v>
      </c>
      <c r="J1040">
        <v>30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51</v>
      </c>
      <c r="S1040">
        <v>357</v>
      </c>
      <c r="T1040">
        <v>0</v>
      </c>
      <c r="V1040">
        <v>0</v>
      </c>
      <c r="W1040" t="s">
        <v>1590</v>
      </c>
    </row>
    <row r="1041" spans="1:23" x14ac:dyDescent="0.25">
      <c r="H1041">
        <v>400</v>
      </c>
    </row>
    <row r="1042" spans="1:23" x14ac:dyDescent="0.25">
      <c r="A1042">
        <v>518</v>
      </c>
      <c r="B1042">
        <v>1401</v>
      </c>
      <c r="C1042" t="s">
        <v>1591</v>
      </c>
      <c r="D1042" t="s">
        <v>44</v>
      </c>
      <c r="E1042" t="s">
        <v>272</v>
      </c>
      <c r="F1042" t="s">
        <v>1592</v>
      </c>
      <c r="G1042" t="str">
        <f>"200810000430"</f>
        <v>200810000430</v>
      </c>
      <c r="H1042" t="s">
        <v>352</v>
      </c>
      <c r="I1042">
        <v>0</v>
      </c>
      <c r="J1042">
        <v>30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55</v>
      </c>
      <c r="S1042">
        <v>385</v>
      </c>
      <c r="T1042">
        <v>0</v>
      </c>
      <c r="V1042">
        <v>0</v>
      </c>
      <c r="W1042" t="s">
        <v>1593</v>
      </c>
    </row>
    <row r="1043" spans="1:23" x14ac:dyDescent="0.25">
      <c r="H1043">
        <v>400</v>
      </c>
    </row>
    <row r="1044" spans="1:23" x14ac:dyDescent="0.25">
      <c r="A1044">
        <v>519</v>
      </c>
      <c r="B1044">
        <v>1264</v>
      </c>
      <c r="C1044" t="s">
        <v>1594</v>
      </c>
      <c r="D1044" t="s">
        <v>269</v>
      </c>
      <c r="E1044" t="s">
        <v>1595</v>
      </c>
      <c r="F1044" t="s">
        <v>1596</v>
      </c>
      <c r="G1044" t="str">
        <f>"201405000119"</f>
        <v>201405000119</v>
      </c>
      <c r="H1044">
        <v>594</v>
      </c>
      <c r="I1044">
        <v>0</v>
      </c>
      <c r="J1044">
        <v>30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84</v>
      </c>
      <c r="S1044">
        <v>588</v>
      </c>
      <c r="T1044">
        <v>0</v>
      </c>
      <c r="V1044">
        <v>0</v>
      </c>
      <c r="W1044">
        <v>1212</v>
      </c>
    </row>
    <row r="1045" spans="1:23" x14ac:dyDescent="0.25">
      <c r="H1045">
        <v>400</v>
      </c>
    </row>
    <row r="1046" spans="1:23" x14ac:dyDescent="0.25">
      <c r="A1046">
        <v>520</v>
      </c>
      <c r="B1046">
        <v>1754</v>
      </c>
      <c r="C1046" t="s">
        <v>1597</v>
      </c>
      <c r="D1046" t="s">
        <v>1598</v>
      </c>
      <c r="E1046" t="s">
        <v>241</v>
      </c>
      <c r="F1046" t="s">
        <v>1599</v>
      </c>
      <c r="G1046" t="str">
        <f>"00216873"</f>
        <v>00216873</v>
      </c>
      <c r="H1046" t="s">
        <v>1600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84</v>
      </c>
      <c r="S1046">
        <v>588</v>
      </c>
      <c r="T1046">
        <v>0</v>
      </c>
      <c r="V1046">
        <v>0</v>
      </c>
      <c r="W1046" t="s">
        <v>1601</v>
      </c>
    </row>
    <row r="1047" spans="1:23" x14ac:dyDescent="0.25">
      <c r="H1047">
        <v>400</v>
      </c>
    </row>
    <row r="1048" spans="1:23" x14ac:dyDescent="0.25">
      <c r="A1048">
        <v>521</v>
      </c>
      <c r="B1048">
        <v>360</v>
      </c>
      <c r="C1048" t="s">
        <v>1602</v>
      </c>
      <c r="D1048" t="s">
        <v>552</v>
      </c>
      <c r="E1048" t="s">
        <v>163</v>
      </c>
      <c r="F1048" t="s">
        <v>1603</v>
      </c>
      <c r="G1048" t="str">
        <f>"201401000609"</f>
        <v>201401000609</v>
      </c>
      <c r="H1048">
        <v>814</v>
      </c>
      <c r="I1048">
        <v>150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35</v>
      </c>
      <c r="S1048">
        <v>245</v>
      </c>
      <c r="T1048">
        <v>0</v>
      </c>
      <c r="V1048">
        <v>2</v>
      </c>
      <c r="W1048">
        <v>1209</v>
      </c>
    </row>
    <row r="1049" spans="1:23" x14ac:dyDescent="0.25">
      <c r="H1049">
        <v>400</v>
      </c>
    </row>
    <row r="1050" spans="1:23" x14ac:dyDescent="0.25">
      <c r="A1050">
        <v>522</v>
      </c>
      <c r="B1050">
        <v>1617</v>
      </c>
      <c r="C1050" t="s">
        <v>1604</v>
      </c>
      <c r="D1050" t="s">
        <v>157</v>
      </c>
      <c r="E1050" t="s">
        <v>408</v>
      </c>
      <c r="F1050" t="s">
        <v>1605</v>
      </c>
      <c r="G1050" t="str">
        <f>"201406007483"</f>
        <v>201406007483</v>
      </c>
      <c r="H1050" t="s">
        <v>68</v>
      </c>
      <c r="I1050">
        <v>150</v>
      </c>
      <c r="J1050">
        <v>30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V1050">
        <v>0</v>
      </c>
      <c r="W1050" t="s">
        <v>1606</v>
      </c>
    </row>
    <row r="1051" spans="1:23" x14ac:dyDescent="0.25">
      <c r="H1051">
        <v>400</v>
      </c>
    </row>
    <row r="1052" spans="1:23" x14ac:dyDescent="0.25">
      <c r="A1052">
        <v>523</v>
      </c>
      <c r="B1052">
        <v>405</v>
      </c>
      <c r="C1052" t="s">
        <v>1607</v>
      </c>
      <c r="D1052" t="s">
        <v>918</v>
      </c>
      <c r="E1052" t="s">
        <v>49</v>
      </c>
      <c r="F1052" t="s">
        <v>1608</v>
      </c>
      <c r="G1052" t="str">
        <f>"200801010640"</f>
        <v>200801010640</v>
      </c>
      <c r="H1052" t="s">
        <v>459</v>
      </c>
      <c r="I1052">
        <v>0</v>
      </c>
      <c r="J1052">
        <v>70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33</v>
      </c>
      <c r="S1052">
        <v>231</v>
      </c>
      <c r="T1052">
        <v>0</v>
      </c>
      <c r="V1052">
        <v>0</v>
      </c>
      <c r="W1052" t="s">
        <v>1606</v>
      </c>
    </row>
    <row r="1053" spans="1:23" x14ac:dyDescent="0.25">
      <c r="H1053">
        <v>400</v>
      </c>
    </row>
    <row r="1054" spans="1:23" x14ac:dyDescent="0.25">
      <c r="A1054">
        <v>524</v>
      </c>
      <c r="B1054">
        <v>1915</v>
      </c>
      <c r="C1054" t="s">
        <v>1609</v>
      </c>
      <c r="D1054" t="s">
        <v>21</v>
      </c>
      <c r="E1054" t="s">
        <v>1610</v>
      </c>
      <c r="F1054" t="s">
        <v>1611</v>
      </c>
      <c r="G1054" t="str">
        <f>"00217942"</f>
        <v>00217942</v>
      </c>
      <c r="H1054">
        <v>968</v>
      </c>
      <c r="I1054">
        <v>0</v>
      </c>
      <c r="J1054">
        <v>30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30</v>
      </c>
      <c r="S1054">
        <v>210</v>
      </c>
      <c r="T1054">
        <v>0</v>
      </c>
      <c r="V1054">
        <v>0</v>
      </c>
      <c r="W1054">
        <v>1208</v>
      </c>
    </row>
    <row r="1055" spans="1:23" x14ac:dyDescent="0.25">
      <c r="H1055">
        <v>400</v>
      </c>
    </row>
    <row r="1056" spans="1:23" x14ac:dyDescent="0.25">
      <c r="A1056">
        <v>525</v>
      </c>
      <c r="B1056">
        <v>912</v>
      </c>
      <c r="C1056" t="s">
        <v>1612</v>
      </c>
      <c r="D1056" t="s">
        <v>552</v>
      </c>
      <c r="E1056" t="s">
        <v>21</v>
      </c>
      <c r="F1056" t="s">
        <v>1613</v>
      </c>
      <c r="G1056" t="str">
        <f>"00212304"</f>
        <v>00212304</v>
      </c>
      <c r="H1056">
        <v>902</v>
      </c>
      <c r="I1056">
        <v>150</v>
      </c>
      <c r="J1056">
        <v>70</v>
      </c>
      <c r="K1056">
        <v>0</v>
      </c>
      <c r="L1056">
        <v>30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8</v>
      </c>
      <c r="S1056">
        <v>56</v>
      </c>
      <c r="T1056">
        <v>0</v>
      </c>
      <c r="V1056">
        <v>1</v>
      </c>
      <c r="W1056">
        <v>1208</v>
      </c>
    </row>
    <row r="1057" spans="1:23" x14ac:dyDescent="0.25">
      <c r="H1057">
        <v>400</v>
      </c>
    </row>
    <row r="1058" spans="1:23" x14ac:dyDescent="0.25">
      <c r="A1058">
        <v>526</v>
      </c>
      <c r="B1058">
        <v>1410</v>
      </c>
      <c r="C1058" t="s">
        <v>1614</v>
      </c>
      <c r="D1058" t="s">
        <v>180</v>
      </c>
      <c r="E1058" t="s">
        <v>163</v>
      </c>
      <c r="F1058" t="s">
        <v>1615</v>
      </c>
      <c r="G1058" t="str">
        <f>"00217530"</f>
        <v>00217530</v>
      </c>
      <c r="H1058">
        <v>825</v>
      </c>
      <c r="I1058">
        <v>150</v>
      </c>
      <c r="J1058">
        <v>30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29</v>
      </c>
      <c r="S1058">
        <v>203</v>
      </c>
      <c r="T1058">
        <v>0</v>
      </c>
      <c r="V1058">
        <v>0</v>
      </c>
      <c r="W1058">
        <v>1208</v>
      </c>
    </row>
    <row r="1059" spans="1:23" x14ac:dyDescent="0.25">
      <c r="H1059">
        <v>400</v>
      </c>
    </row>
    <row r="1060" spans="1:23" x14ac:dyDescent="0.25">
      <c r="A1060">
        <v>527</v>
      </c>
      <c r="B1060">
        <v>387</v>
      </c>
      <c r="C1060" t="s">
        <v>1616</v>
      </c>
      <c r="D1060" t="s">
        <v>59</v>
      </c>
      <c r="E1060" t="s">
        <v>163</v>
      </c>
      <c r="F1060" t="s">
        <v>1617</v>
      </c>
      <c r="G1060" t="str">
        <f>"201511019335"</f>
        <v>201511019335</v>
      </c>
      <c r="H1060" t="s">
        <v>114</v>
      </c>
      <c r="I1060">
        <v>0</v>
      </c>
      <c r="J1060">
        <v>50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34</v>
      </c>
      <c r="S1060">
        <v>238</v>
      </c>
      <c r="T1060">
        <v>0</v>
      </c>
      <c r="V1060">
        <v>0</v>
      </c>
      <c r="W1060" t="s">
        <v>1618</v>
      </c>
    </row>
    <row r="1061" spans="1:23" x14ac:dyDescent="0.25">
      <c r="H1061">
        <v>400</v>
      </c>
    </row>
    <row r="1062" spans="1:23" x14ac:dyDescent="0.25">
      <c r="A1062">
        <v>528</v>
      </c>
      <c r="B1062">
        <v>38</v>
      </c>
      <c r="C1062" t="s">
        <v>1619</v>
      </c>
      <c r="D1062" t="s">
        <v>212</v>
      </c>
      <c r="E1062" t="s">
        <v>33</v>
      </c>
      <c r="F1062" t="s">
        <v>1620</v>
      </c>
      <c r="G1062" t="str">
        <f>"201406011575"</f>
        <v>201406011575</v>
      </c>
      <c r="H1062">
        <v>781</v>
      </c>
      <c r="I1062">
        <v>0</v>
      </c>
      <c r="J1062">
        <v>30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56</v>
      </c>
      <c r="S1062">
        <v>392</v>
      </c>
      <c r="T1062">
        <v>0</v>
      </c>
      <c r="V1062">
        <v>0</v>
      </c>
      <c r="W1062">
        <v>1203</v>
      </c>
    </row>
    <row r="1063" spans="1:23" x14ac:dyDescent="0.25">
      <c r="H1063" t="s">
        <v>76</v>
      </c>
    </row>
    <row r="1064" spans="1:23" x14ac:dyDescent="0.25">
      <c r="A1064">
        <v>529</v>
      </c>
      <c r="B1064">
        <v>460</v>
      </c>
      <c r="C1064" t="s">
        <v>1621</v>
      </c>
      <c r="D1064" t="s">
        <v>1622</v>
      </c>
      <c r="E1064" t="s">
        <v>21</v>
      </c>
      <c r="F1064" t="s">
        <v>1623</v>
      </c>
      <c r="G1064" t="str">
        <f>"201502000269"</f>
        <v>201502000269</v>
      </c>
      <c r="H1064">
        <v>935</v>
      </c>
      <c r="I1064">
        <v>0</v>
      </c>
      <c r="J1064">
        <v>70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28</v>
      </c>
      <c r="S1064">
        <v>196</v>
      </c>
      <c r="T1064">
        <v>0</v>
      </c>
      <c r="V1064">
        <v>0</v>
      </c>
      <c r="W1064">
        <v>1201</v>
      </c>
    </row>
    <row r="1065" spans="1:23" x14ac:dyDescent="0.25">
      <c r="H1065">
        <v>400</v>
      </c>
    </row>
    <row r="1066" spans="1:23" x14ac:dyDescent="0.25">
      <c r="A1066">
        <v>530</v>
      </c>
      <c r="B1066">
        <v>401</v>
      </c>
      <c r="C1066" t="s">
        <v>1624</v>
      </c>
      <c r="D1066" t="s">
        <v>1555</v>
      </c>
      <c r="E1066" t="s">
        <v>15</v>
      </c>
      <c r="F1066" t="s">
        <v>1625</v>
      </c>
      <c r="G1066" t="str">
        <f>"201406009823"</f>
        <v>201406009823</v>
      </c>
      <c r="H1066">
        <v>605</v>
      </c>
      <c r="I1066">
        <v>0</v>
      </c>
      <c r="J1066">
        <v>70</v>
      </c>
      <c r="K1066">
        <v>0</v>
      </c>
      <c r="L1066">
        <v>0</v>
      </c>
      <c r="M1066">
        <v>50</v>
      </c>
      <c r="N1066">
        <v>0</v>
      </c>
      <c r="O1066">
        <v>0</v>
      </c>
      <c r="P1066">
        <v>0</v>
      </c>
      <c r="Q1066">
        <v>0</v>
      </c>
      <c r="R1066">
        <v>68</v>
      </c>
      <c r="S1066">
        <v>476</v>
      </c>
      <c r="T1066">
        <v>0</v>
      </c>
      <c r="V1066">
        <v>0</v>
      </c>
      <c r="W1066">
        <v>1201</v>
      </c>
    </row>
    <row r="1067" spans="1:23" x14ac:dyDescent="0.25">
      <c r="H1067">
        <v>400</v>
      </c>
    </row>
    <row r="1068" spans="1:23" x14ac:dyDescent="0.25">
      <c r="A1068">
        <v>531</v>
      </c>
      <c r="B1068">
        <v>286</v>
      </c>
      <c r="C1068" t="s">
        <v>1626</v>
      </c>
      <c r="D1068" t="s">
        <v>180</v>
      </c>
      <c r="E1068" t="s">
        <v>158</v>
      </c>
      <c r="F1068" t="s">
        <v>1627</v>
      </c>
      <c r="G1068" t="str">
        <f>"201504001286"</f>
        <v>201504001286</v>
      </c>
      <c r="H1068" t="s">
        <v>41</v>
      </c>
      <c r="I1068">
        <v>150</v>
      </c>
      <c r="J1068">
        <v>30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2</v>
      </c>
      <c r="S1068">
        <v>14</v>
      </c>
      <c r="T1068">
        <v>0</v>
      </c>
      <c r="V1068">
        <v>0</v>
      </c>
      <c r="W1068" t="s">
        <v>1628</v>
      </c>
    </row>
    <row r="1069" spans="1:23" x14ac:dyDescent="0.25">
      <c r="H1069">
        <v>400</v>
      </c>
    </row>
    <row r="1070" spans="1:23" x14ac:dyDescent="0.25">
      <c r="A1070">
        <v>532</v>
      </c>
      <c r="B1070">
        <v>1527</v>
      </c>
      <c r="C1070" t="s">
        <v>1629</v>
      </c>
      <c r="D1070" t="s">
        <v>1630</v>
      </c>
      <c r="E1070" t="s">
        <v>523</v>
      </c>
      <c r="F1070" t="s">
        <v>1631</v>
      </c>
      <c r="G1070" t="str">
        <f>"201502002392"</f>
        <v>201502002392</v>
      </c>
      <c r="H1070" t="s">
        <v>235</v>
      </c>
      <c r="I1070">
        <v>0</v>
      </c>
      <c r="J1070">
        <v>30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25</v>
      </c>
      <c r="S1070">
        <v>175</v>
      </c>
      <c r="T1070">
        <v>0</v>
      </c>
      <c r="V1070">
        <v>0</v>
      </c>
      <c r="W1070" t="s">
        <v>1628</v>
      </c>
    </row>
    <row r="1071" spans="1:23" x14ac:dyDescent="0.25">
      <c r="H1071">
        <v>400</v>
      </c>
    </row>
    <row r="1072" spans="1:23" x14ac:dyDescent="0.25">
      <c r="A1072">
        <v>533</v>
      </c>
      <c r="B1072">
        <v>777</v>
      </c>
      <c r="C1072" t="s">
        <v>1632</v>
      </c>
      <c r="D1072" t="s">
        <v>87</v>
      </c>
      <c r="E1072" t="s">
        <v>720</v>
      </c>
      <c r="F1072" t="s">
        <v>1633</v>
      </c>
      <c r="G1072" t="str">
        <f>"201406005156"</f>
        <v>201406005156</v>
      </c>
      <c r="H1072" t="s">
        <v>1634</v>
      </c>
      <c r="I1072">
        <v>0</v>
      </c>
      <c r="J1072">
        <v>50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84</v>
      </c>
      <c r="S1072">
        <v>588</v>
      </c>
      <c r="T1072">
        <v>0</v>
      </c>
      <c r="V1072">
        <v>0</v>
      </c>
      <c r="W1072" t="s">
        <v>1635</v>
      </c>
    </row>
    <row r="1073" spans="1:23" x14ac:dyDescent="0.25">
      <c r="H1073">
        <v>400</v>
      </c>
    </row>
    <row r="1074" spans="1:23" x14ac:dyDescent="0.25">
      <c r="A1074">
        <v>534</v>
      </c>
      <c r="B1074">
        <v>950</v>
      </c>
      <c r="C1074" t="s">
        <v>1636</v>
      </c>
      <c r="D1074" t="s">
        <v>1637</v>
      </c>
      <c r="E1074" t="s">
        <v>27</v>
      </c>
      <c r="F1074" t="s">
        <v>1638</v>
      </c>
      <c r="G1074" t="str">
        <f>"201406011433"</f>
        <v>201406011433</v>
      </c>
      <c r="H1074" t="s">
        <v>41</v>
      </c>
      <c r="I1074">
        <v>0</v>
      </c>
      <c r="J1074">
        <v>30</v>
      </c>
      <c r="K1074">
        <v>30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19</v>
      </c>
      <c r="S1074">
        <v>133</v>
      </c>
      <c r="T1074">
        <v>0</v>
      </c>
      <c r="V1074">
        <v>0</v>
      </c>
      <c r="W1074" t="s">
        <v>1639</v>
      </c>
    </row>
    <row r="1075" spans="1:23" x14ac:dyDescent="0.25">
      <c r="H1075">
        <v>400</v>
      </c>
    </row>
    <row r="1076" spans="1:23" x14ac:dyDescent="0.25">
      <c r="A1076">
        <v>535</v>
      </c>
      <c r="B1076">
        <v>1538</v>
      </c>
      <c r="C1076" t="s">
        <v>33</v>
      </c>
      <c r="D1076" t="s">
        <v>1640</v>
      </c>
      <c r="E1076" t="s">
        <v>27</v>
      </c>
      <c r="F1076">
        <v>469463</v>
      </c>
      <c r="G1076" t="str">
        <f>"00215327"</f>
        <v>00215327</v>
      </c>
      <c r="H1076" t="s">
        <v>285</v>
      </c>
      <c r="I1076">
        <v>150</v>
      </c>
      <c r="J1076">
        <v>50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10</v>
      </c>
      <c r="S1076">
        <v>70</v>
      </c>
      <c r="T1076">
        <v>0</v>
      </c>
      <c r="V1076">
        <v>0</v>
      </c>
      <c r="W1076" t="s">
        <v>1639</v>
      </c>
    </row>
    <row r="1077" spans="1:23" x14ac:dyDescent="0.25">
      <c r="H1077">
        <v>400</v>
      </c>
    </row>
    <row r="1078" spans="1:23" x14ac:dyDescent="0.25">
      <c r="A1078">
        <v>536</v>
      </c>
      <c r="B1078">
        <v>408</v>
      </c>
      <c r="C1078" t="s">
        <v>1641</v>
      </c>
      <c r="D1078" t="s">
        <v>408</v>
      </c>
      <c r="E1078" t="s">
        <v>158</v>
      </c>
      <c r="F1078" t="s">
        <v>1642</v>
      </c>
      <c r="G1078" t="str">
        <f>"201511014906"</f>
        <v>201511014906</v>
      </c>
      <c r="H1078" t="s">
        <v>1643</v>
      </c>
      <c r="I1078">
        <v>0</v>
      </c>
      <c r="J1078">
        <v>30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62</v>
      </c>
      <c r="S1078">
        <v>434</v>
      </c>
      <c r="T1078">
        <v>0</v>
      </c>
      <c r="V1078">
        <v>0</v>
      </c>
      <c r="W1078" t="s">
        <v>1644</v>
      </c>
    </row>
    <row r="1079" spans="1:23" x14ac:dyDescent="0.25">
      <c r="H1079">
        <v>400</v>
      </c>
    </row>
    <row r="1080" spans="1:23" x14ac:dyDescent="0.25">
      <c r="A1080">
        <v>537</v>
      </c>
      <c r="B1080">
        <v>221</v>
      </c>
      <c r="C1080" t="s">
        <v>1645</v>
      </c>
      <c r="D1080" t="s">
        <v>298</v>
      </c>
      <c r="E1080" t="s">
        <v>15</v>
      </c>
      <c r="F1080" t="s">
        <v>1646</v>
      </c>
      <c r="G1080" t="str">
        <f>"00214251"</f>
        <v>00214251</v>
      </c>
      <c r="H1080" t="s">
        <v>410</v>
      </c>
      <c r="I1080">
        <v>0</v>
      </c>
      <c r="J1080">
        <v>70</v>
      </c>
      <c r="K1080">
        <v>30</v>
      </c>
      <c r="L1080">
        <v>0</v>
      </c>
      <c r="M1080">
        <v>30</v>
      </c>
      <c r="N1080">
        <v>0</v>
      </c>
      <c r="O1080">
        <v>0</v>
      </c>
      <c r="P1080">
        <v>0</v>
      </c>
      <c r="Q1080">
        <v>0</v>
      </c>
      <c r="R1080">
        <v>12</v>
      </c>
      <c r="S1080">
        <v>84</v>
      </c>
      <c r="T1080">
        <v>0</v>
      </c>
      <c r="V1080">
        <v>0</v>
      </c>
      <c r="W1080" t="s">
        <v>1647</v>
      </c>
    </row>
    <row r="1081" spans="1:23" x14ac:dyDescent="0.25">
      <c r="H1081">
        <v>400</v>
      </c>
    </row>
    <row r="1082" spans="1:23" x14ac:dyDescent="0.25">
      <c r="A1082">
        <v>538</v>
      </c>
      <c r="B1082">
        <v>313</v>
      </c>
      <c r="C1082" t="s">
        <v>653</v>
      </c>
      <c r="D1082" t="s">
        <v>26</v>
      </c>
      <c r="E1082" t="s">
        <v>158</v>
      </c>
      <c r="F1082" t="s">
        <v>1648</v>
      </c>
      <c r="G1082" t="str">
        <f>"200802006683"</f>
        <v>200802006683</v>
      </c>
      <c r="H1082">
        <v>770</v>
      </c>
      <c r="I1082">
        <v>0</v>
      </c>
      <c r="J1082">
        <v>50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54</v>
      </c>
      <c r="S1082">
        <v>378</v>
      </c>
      <c r="T1082">
        <v>0</v>
      </c>
      <c r="V1082">
        <v>2</v>
      </c>
      <c r="W1082">
        <v>1198</v>
      </c>
    </row>
    <row r="1083" spans="1:23" x14ac:dyDescent="0.25">
      <c r="H1083">
        <v>400</v>
      </c>
    </row>
    <row r="1084" spans="1:23" x14ac:dyDescent="0.25">
      <c r="A1084">
        <v>539</v>
      </c>
      <c r="B1084">
        <v>1305</v>
      </c>
      <c r="C1084" t="s">
        <v>1649</v>
      </c>
      <c r="D1084" t="s">
        <v>1650</v>
      </c>
      <c r="E1084" t="s">
        <v>1651</v>
      </c>
      <c r="F1084" t="s">
        <v>1652</v>
      </c>
      <c r="G1084" t="str">
        <f>"00019852"</f>
        <v>00019852</v>
      </c>
      <c r="H1084" t="s">
        <v>285</v>
      </c>
      <c r="I1084">
        <v>0</v>
      </c>
      <c r="J1084">
        <v>30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34</v>
      </c>
      <c r="S1084">
        <v>238</v>
      </c>
      <c r="T1084">
        <v>0</v>
      </c>
      <c r="V1084">
        <v>0</v>
      </c>
      <c r="W1084" t="s">
        <v>1653</v>
      </c>
    </row>
    <row r="1085" spans="1:23" x14ac:dyDescent="0.25">
      <c r="H1085">
        <v>400</v>
      </c>
    </row>
    <row r="1086" spans="1:23" x14ac:dyDescent="0.25">
      <c r="A1086">
        <v>540</v>
      </c>
      <c r="B1086">
        <v>583</v>
      </c>
      <c r="C1086" t="s">
        <v>1562</v>
      </c>
      <c r="D1086" t="s">
        <v>620</v>
      </c>
      <c r="E1086" t="s">
        <v>59</v>
      </c>
      <c r="F1086" t="s">
        <v>1654</v>
      </c>
      <c r="G1086" t="str">
        <f>"201511011893"</f>
        <v>201511011893</v>
      </c>
      <c r="H1086">
        <v>957</v>
      </c>
      <c r="I1086">
        <v>0</v>
      </c>
      <c r="J1086">
        <v>30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30</v>
      </c>
      <c r="S1086">
        <v>210</v>
      </c>
      <c r="T1086">
        <v>0</v>
      </c>
      <c r="V1086">
        <v>0</v>
      </c>
      <c r="W1086">
        <v>1197</v>
      </c>
    </row>
    <row r="1087" spans="1:23" x14ac:dyDescent="0.25">
      <c r="H1087">
        <v>400</v>
      </c>
    </row>
    <row r="1088" spans="1:23" x14ac:dyDescent="0.25">
      <c r="A1088">
        <v>541</v>
      </c>
      <c r="B1088">
        <v>1262</v>
      </c>
      <c r="C1088" t="s">
        <v>1655</v>
      </c>
      <c r="D1088" t="s">
        <v>782</v>
      </c>
      <c r="E1088" t="s">
        <v>158</v>
      </c>
      <c r="F1088" t="s">
        <v>1656</v>
      </c>
      <c r="G1088" t="str">
        <f>"00169144"</f>
        <v>00169144</v>
      </c>
      <c r="H1088" t="s">
        <v>235</v>
      </c>
      <c r="I1088">
        <v>150</v>
      </c>
      <c r="J1088">
        <v>50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V1088">
        <v>0</v>
      </c>
      <c r="W1088" t="s">
        <v>1657</v>
      </c>
    </row>
    <row r="1089" spans="1:23" x14ac:dyDescent="0.25">
      <c r="H1089" t="s">
        <v>76</v>
      </c>
    </row>
    <row r="1090" spans="1:23" x14ac:dyDescent="0.25">
      <c r="A1090">
        <v>542</v>
      </c>
      <c r="B1090">
        <v>1709</v>
      </c>
      <c r="C1090" t="s">
        <v>1658</v>
      </c>
      <c r="D1090" t="s">
        <v>125</v>
      </c>
      <c r="E1090" t="s">
        <v>49</v>
      </c>
      <c r="F1090" t="s">
        <v>1659</v>
      </c>
      <c r="G1090" t="str">
        <f>"00087026"</f>
        <v>00087026</v>
      </c>
      <c r="H1090">
        <v>891</v>
      </c>
      <c r="I1090">
        <v>0</v>
      </c>
      <c r="J1090">
        <v>50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36</v>
      </c>
      <c r="S1090">
        <v>252</v>
      </c>
      <c r="T1090">
        <v>0</v>
      </c>
      <c r="V1090">
        <v>0</v>
      </c>
      <c r="W1090">
        <v>1193</v>
      </c>
    </row>
    <row r="1091" spans="1:23" x14ac:dyDescent="0.25">
      <c r="H1091">
        <v>400</v>
      </c>
    </row>
    <row r="1092" spans="1:23" x14ac:dyDescent="0.25">
      <c r="A1092">
        <v>543</v>
      </c>
      <c r="B1092">
        <v>764</v>
      </c>
      <c r="C1092" t="s">
        <v>1660</v>
      </c>
      <c r="D1092" t="s">
        <v>527</v>
      </c>
      <c r="E1092" t="s">
        <v>828</v>
      </c>
      <c r="F1092" t="s">
        <v>1661</v>
      </c>
      <c r="G1092" t="str">
        <f>"201601000503"</f>
        <v>201601000503</v>
      </c>
      <c r="H1092" t="s">
        <v>84</v>
      </c>
      <c r="I1092">
        <v>0</v>
      </c>
      <c r="J1092">
        <v>70</v>
      </c>
      <c r="K1092">
        <v>30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6</v>
      </c>
      <c r="S1092">
        <v>42</v>
      </c>
      <c r="T1092">
        <v>0</v>
      </c>
      <c r="V1092">
        <v>0</v>
      </c>
      <c r="W1092" t="s">
        <v>1662</v>
      </c>
    </row>
    <row r="1093" spans="1:23" x14ac:dyDescent="0.25">
      <c r="H1093">
        <v>400</v>
      </c>
    </row>
    <row r="1094" spans="1:23" x14ac:dyDescent="0.25">
      <c r="A1094">
        <v>544</v>
      </c>
      <c r="B1094">
        <v>359</v>
      </c>
      <c r="C1094" t="s">
        <v>1663</v>
      </c>
      <c r="D1094" t="s">
        <v>1664</v>
      </c>
      <c r="E1094" t="s">
        <v>50</v>
      </c>
      <c r="F1094" t="s">
        <v>1665</v>
      </c>
      <c r="G1094" t="str">
        <f>"00011868"</f>
        <v>00011868</v>
      </c>
      <c r="H1094">
        <v>902</v>
      </c>
      <c r="I1094">
        <v>0</v>
      </c>
      <c r="J1094">
        <v>30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37</v>
      </c>
      <c r="S1094">
        <v>259</v>
      </c>
      <c r="T1094">
        <v>0</v>
      </c>
      <c r="V1094">
        <v>2</v>
      </c>
      <c r="W1094">
        <v>1191</v>
      </c>
    </row>
    <row r="1095" spans="1:23" x14ac:dyDescent="0.25">
      <c r="H1095">
        <v>400</v>
      </c>
    </row>
    <row r="1096" spans="1:23" x14ac:dyDescent="0.25">
      <c r="A1096">
        <v>545</v>
      </c>
      <c r="B1096">
        <v>1456</v>
      </c>
      <c r="C1096" t="s">
        <v>1666</v>
      </c>
      <c r="D1096" t="s">
        <v>74</v>
      </c>
      <c r="E1096" t="s">
        <v>241</v>
      </c>
      <c r="F1096" t="s">
        <v>1667</v>
      </c>
      <c r="G1096" t="str">
        <f>"00206364"</f>
        <v>00206364</v>
      </c>
      <c r="H1096">
        <v>825</v>
      </c>
      <c r="I1096">
        <v>0</v>
      </c>
      <c r="J1096">
        <v>30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48</v>
      </c>
      <c r="S1096">
        <v>336</v>
      </c>
      <c r="T1096">
        <v>0</v>
      </c>
      <c r="V1096">
        <v>0</v>
      </c>
      <c r="W1096">
        <v>1191</v>
      </c>
    </row>
    <row r="1097" spans="1:23" x14ac:dyDescent="0.25">
      <c r="H1097">
        <v>400</v>
      </c>
    </row>
    <row r="1098" spans="1:23" x14ac:dyDescent="0.25">
      <c r="A1098">
        <v>546</v>
      </c>
      <c r="B1098">
        <v>1619</v>
      </c>
      <c r="C1098" t="s">
        <v>1668</v>
      </c>
      <c r="D1098" t="s">
        <v>1669</v>
      </c>
      <c r="E1098" t="s">
        <v>1670</v>
      </c>
      <c r="F1098" t="s">
        <v>1671</v>
      </c>
      <c r="G1098" t="str">
        <f>"00213555"</f>
        <v>00213555</v>
      </c>
      <c r="H1098" t="s">
        <v>356</v>
      </c>
      <c r="I1098">
        <v>150</v>
      </c>
      <c r="J1098">
        <v>30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32</v>
      </c>
      <c r="S1098">
        <v>224</v>
      </c>
      <c r="T1098">
        <v>0</v>
      </c>
      <c r="V1098">
        <v>0</v>
      </c>
      <c r="W1098" t="s">
        <v>1672</v>
      </c>
    </row>
    <row r="1099" spans="1:23" x14ac:dyDescent="0.25">
      <c r="H1099">
        <v>400</v>
      </c>
    </row>
    <row r="1100" spans="1:23" x14ac:dyDescent="0.25">
      <c r="A1100">
        <v>547</v>
      </c>
      <c r="B1100">
        <v>960</v>
      </c>
      <c r="C1100" t="s">
        <v>1673</v>
      </c>
      <c r="D1100" t="s">
        <v>49</v>
      </c>
      <c r="E1100" t="s">
        <v>112</v>
      </c>
      <c r="F1100" t="s">
        <v>1674</v>
      </c>
      <c r="G1100" t="str">
        <f>"201402004568"</f>
        <v>201402004568</v>
      </c>
      <c r="H1100">
        <v>814</v>
      </c>
      <c r="I1100">
        <v>150</v>
      </c>
      <c r="J1100">
        <v>30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28</v>
      </c>
      <c r="S1100">
        <v>196</v>
      </c>
      <c r="T1100">
        <v>0</v>
      </c>
      <c r="V1100">
        <v>0</v>
      </c>
      <c r="W1100">
        <v>1190</v>
      </c>
    </row>
    <row r="1101" spans="1:23" x14ac:dyDescent="0.25">
      <c r="H1101">
        <v>400</v>
      </c>
    </row>
    <row r="1102" spans="1:23" x14ac:dyDescent="0.25">
      <c r="A1102">
        <v>548</v>
      </c>
      <c r="B1102">
        <v>988</v>
      </c>
      <c r="C1102" t="s">
        <v>1675</v>
      </c>
      <c r="D1102" t="s">
        <v>1676</v>
      </c>
      <c r="E1102" t="s">
        <v>1677</v>
      </c>
      <c r="F1102" t="s">
        <v>1678</v>
      </c>
      <c r="G1102" t="str">
        <f>"201406018638"</f>
        <v>201406018638</v>
      </c>
      <c r="H1102">
        <v>836</v>
      </c>
      <c r="I1102">
        <v>0</v>
      </c>
      <c r="J1102">
        <v>30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46</v>
      </c>
      <c r="S1102">
        <v>322</v>
      </c>
      <c r="T1102">
        <v>0</v>
      </c>
      <c r="V1102">
        <v>2</v>
      </c>
      <c r="W1102">
        <v>1188</v>
      </c>
    </row>
    <row r="1103" spans="1:23" x14ac:dyDescent="0.25">
      <c r="H1103">
        <v>400</v>
      </c>
    </row>
    <row r="1104" spans="1:23" x14ac:dyDescent="0.25">
      <c r="A1104">
        <v>549</v>
      </c>
      <c r="B1104">
        <v>1807</v>
      </c>
      <c r="C1104" t="s">
        <v>1679</v>
      </c>
      <c r="D1104" t="s">
        <v>738</v>
      </c>
      <c r="E1104" t="s">
        <v>71</v>
      </c>
      <c r="F1104" t="s">
        <v>1680</v>
      </c>
      <c r="G1104" t="str">
        <f>"00197945"</f>
        <v>00197945</v>
      </c>
      <c r="H1104">
        <v>814</v>
      </c>
      <c r="I1104">
        <v>0</v>
      </c>
      <c r="J1104">
        <v>70</v>
      </c>
      <c r="K1104">
        <v>30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39</v>
      </c>
      <c r="S1104">
        <v>273</v>
      </c>
      <c r="T1104">
        <v>0</v>
      </c>
      <c r="V1104">
        <v>0</v>
      </c>
      <c r="W1104">
        <v>1187</v>
      </c>
    </row>
    <row r="1105" spans="1:23" x14ac:dyDescent="0.25">
      <c r="H1105">
        <v>400</v>
      </c>
    </row>
    <row r="1106" spans="1:23" x14ac:dyDescent="0.25">
      <c r="A1106">
        <v>550</v>
      </c>
      <c r="B1106">
        <v>449</v>
      </c>
      <c r="C1106" t="s">
        <v>1681</v>
      </c>
      <c r="D1106" t="s">
        <v>209</v>
      </c>
      <c r="E1106" t="s">
        <v>1682</v>
      </c>
      <c r="F1106" t="s">
        <v>1683</v>
      </c>
      <c r="G1106" t="str">
        <f>"00216202"</f>
        <v>00216202</v>
      </c>
      <c r="H1106" t="s">
        <v>603</v>
      </c>
      <c r="I1106">
        <v>150</v>
      </c>
      <c r="J1106">
        <v>30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22</v>
      </c>
      <c r="S1106">
        <v>154</v>
      </c>
      <c r="T1106">
        <v>0</v>
      </c>
      <c r="V1106">
        <v>2</v>
      </c>
      <c r="W1106" t="s">
        <v>1684</v>
      </c>
    </row>
    <row r="1107" spans="1:23" x14ac:dyDescent="0.25">
      <c r="H1107" t="s">
        <v>76</v>
      </c>
    </row>
    <row r="1108" spans="1:23" x14ac:dyDescent="0.25">
      <c r="A1108">
        <v>551</v>
      </c>
      <c r="B1108">
        <v>289</v>
      </c>
      <c r="C1108" t="s">
        <v>1573</v>
      </c>
      <c r="D1108" t="s">
        <v>220</v>
      </c>
      <c r="E1108" t="s">
        <v>49</v>
      </c>
      <c r="F1108" t="s">
        <v>1685</v>
      </c>
      <c r="G1108" t="str">
        <f>"201409006351"</f>
        <v>201409006351</v>
      </c>
      <c r="H1108" t="s">
        <v>120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24</v>
      </c>
      <c r="S1108">
        <v>168</v>
      </c>
      <c r="T1108">
        <v>0</v>
      </c>
      <c r="V1108">
        <v>2</v>
      </c>
      <c r="W1108" t="s">
        <v>1686</v>
      </c>
    </row>
    <row r="1109" spans="1:23" x14ac:dyDescent="0.25">
      <c r="H1109">
        <v>400</v>
      </c>
    </row>
    <row r="1110" spans="1:23" x14ac:dyDescent="0.25">
      <c r="A1110">
        <v>552</v>
      </c>
      <c r="B1110">
        <v>282</v>
      </c>
      <c r="C1110" t="s">
        <v>1687</v>
      </c>
      <c r="D1110" t="s">
        <v>1688</v>
      </c>
      <c r="E1110" t="s">
        <v>163</v>
      </c>
      <c r="F1110" t="s">
        <v>1689</v>
      </c>
      <c r="G1110" t="str">
        <f>"00216290"</f>
        <v>00216290</v>
      </c>
      <c r="H1110" t="s">
        <v>1690</v>
      </c>
      <c r="I1110">
        <v>0</v>
      </c>
      <c r="J1110">
        <v>30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38</v>
      </c>
      <c r="S1110">
        <v>266</v>
      </c>
      <c r="T1110">
        <v>0</v>
      </c>
      <c r="V1110">
        <v>0</v>
      </c>
      <c r="W1110" t="s">
        <v>1691</v>
      </c>
    </row>
    <row r="1111" spans="1:23" x14ac:dyDescent="0.25">
      <c r="H1111">
        <v>400</v>
      </c>
    </row>
    <row r="1112" spans="1:23" x14ac:dyDescent="0.25">
      <c r="A1112">
        <v>553</v>
      </c>
      <c r="B1112">
        <v>876</v>
      </c>
      <c r="C1112" t="s">
        <v>77</v>
      </c>
      <c r="D1112" t="s">
        <v>282</v>
      </c>
      <c r="E1112" t="s">
        <v>39</v>
      </c>
      <c r="F1112" t="s">
        <v>1692</v>
      </c>
      <c r="G1112" t="str">
        <f>"201304003433"</f>
        <v>201304003433</v>
      </c>
      <c r="H1112">
        <v>935</v>
      </c>
      <c r="I1112">
        <v>0</v>
      </c>
      <c r="J1112">
        <v>50</v>
      </c>
      <c r="K1112">
        <v>30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24</v>
      </c>
      <c r="S1112">
        <v>168</v>
      </c>
      <c r="T1112">
        <v>0</v>
      </c>
      <c r="V1112">
        <v>0</v>
      </c>
      <c r="W1112">
        <v>1183</v>
      </c>
    </row>
    <row r="1113" spans="1:23" x14ac:dyDescent="0.25">
      <c r="H1113">
        <v>400</v>
      </c>
    </row>
    <row r="1114" spans="1:23" x14ac:dyDescent="0.25">
      <c r="A1114">
        <v>554</v>
      </c>
      <c r="B1114">
        <v>1804</v>
      </c>
      <c r="C1114" t="s">
        <v>1693</v>
      </c>
      <c r="D1114" t="s">
        <v>180</v>
      </c>
      <c r="E1114" t="s">
        <v>33</v>
      </c>
      <c r="F1114" t="s">
        <v>1694</v>
      </c>
      <c r="G1114" t="str">
        <f>"00213385"</f>
        <v>00213385</v>
      </c>
      <c r="H1114" t="s">
        <v>218</v>
      </c>
      <c r="I1114">
        <v>0</v>
      </c>
      <c r="J1114">
        <v>30</v>
      </c>
      <c r="K1114">
        <v>30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40</v>
      </c>
      <c r="S1114">
        <v>280</v>
      </c>
      <c r="T1114">
        <v>0</v>
      </c>
      <c r="V1114">
        <v>0</v>
      </c>
      <c r="W1114" t="s">
        <v>1695</v>
      </c>
    </row>
    <row r="1115" spans="1:23" x14ac:dyDescent="0.25">
      <c r="H1115">
        <v>400</v>
      </c>
    </row>
    <row r="1116" spans="1:23" x14ac:dyDescent="0.25">
      <c r="A1116">
        <v>555</v>
      </c>
      <c r="B1116">
        <v>1671</v>
      </c>
      <c r="C1116" t="s">
        <v>1696</v>
      </c>
      <c r="D1116" t="s">
        <v>748</v>
      </c>
      <c r="E1116" t="s">
        <v>1697</v>
      </c>
      <c r="F1116" t="s">
        <v>1698</v>
      </c>
      <c r="G1116" t="str">
        <f>"00213335"</f>
        <v>00213335</v>
      </c>
      <c r="H1116" t="s">
        <v>1699</v>
      </c>
      <c r="I1116">
        <v>150</v>
      </c>
      <c r="J1116">
        <v>50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64</v>
      </c>
      <c r="S1116">
        <v>448</v>
      </c>
      <c r="T1116">
        <v>0</v>
      </c>
      <c r="V1116">
        <v>0</v>
      </c>
      <c r="W1116" t="s">
        <v>1695</v>
      </c>
    </row>
    <row r="1117" spans="1:23" x14ac:dyDescent="0.25">
      <c r="H1117">
        <v>400</v>
      </c>
    </row>
    <row r="1118" spans="1:23" x14ac:dyDescent="0.25">
      <c r="A1118">
        <v>556</v>
      </c>
      <c r="B1118">
        <v>1222</v>
      </c>
      <c r="C1118" t="s">
        <v>186</v>
      </c>
      <c r="D1118" t="s">
        <v>192</v>
      </c>
      <c r="E1118" t="s">
        <v>27</v>
      </c>
      <c r="F1118" t="s">
        <v>1700</v>
      </c>
      <c r="G1118" t="str">
        <f>"00184249"</f>
        <v>00184249</v>
      </c>
      <c r="H1118" t="s">
        <v>194</v>
      </c>
      <c r="I1118">
        <v>0</v>
      </c>
      <c r="J1118">
        <v>70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21</v>
      </c>
      <c r="S1118">
        <v>147</v>
      </c>
      <c r="T1118">
        <v>0</v>
      </c>
      <c r="V1118">
        <v>2</v>
      </c>
      <c r="W1118" t="s">
        <v>1701</v>
      </c>
    </row>
    <row r="1119" spans="1:23" x14ac:dyDescent="0.25">
      <c r="H1119">
        <v>400</v>
      </c>
    </row>
    <row r="1120" spans="1:23" x14ac:dyDescent="0.25">
      <c r="A1120">
        <v>557</v>
      </c>
      <c r="B1120">
        <v>1317</v>
      </c>
      <c r="C1120" t="s">
        <v>1702</v>
      </c>
      <c r="D1120" t="s">
        <v>262</v>
      </c>
      <c r="E1120" t="s">
        <v>15</v>
      </c>
      <c r="F1120" t="s">
        <v>1703</v>
      </c>
      <c r="G1120" t="str">
        <f>"201406015425"</f>
        <v>201406015425</v>
      </c>
      <c r="H1120" t="s">
        <v>437</v>
      </c>
      <c r="I1120">
        <v>0</v>
      </c>
      <c r="J1120">
        <v>70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32</v>
      </c>
      <c r="S1120">
        <v>224</v>
      </c>
      <c r="T1120">
        <v>0</v>
      </c>
      <c r="V1120">
        <v>0</v>
      </c>
      <c r="W1120" t="s">
        <v>1701</v>
      </c>
    </row>
    <row r="1121" spans="1:23" x14ac:dyDescent="0.25">
      <c r="H1121">
        <v>400</v>
      </c>
    </row>
    <row r="1122" spans="1:23" x14ac:dyDescent="0.25">
      <c r="A1122">
        <v>558</v>
      </c>
      <c r="B1122">
        <v>563</v>
      </c>
      <c r="C1122" t="s">
        <v>1704</v>
      </c>
      <c r="D1122" t="s">
        <v>792</v>
      </c>
      <c r="E1122" t="s">
        <v>209</v>
      </c>
      <c r="F1122" t="s">
        <v>1705</v>
      </c>
      <c r="G1122" t="str">
        <f>"201503000180"</f>
        <v>201503000180</v>
      </c>
      <c r="H1122">
        <v>891</v>
      </c>
      <c r="I1122">
        <v>0</v>
      </c>
      <c r="J1122">
        <v>70</v>
      </c>
      <c r="K1122">
        <v>50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24</v>
      </c>
      <c r="S1122">
        <v>168</v>
      </c>
      <c r="T1122">
        <v>0</v>
      </c>
      <c r="V1122">
        <v>0</v>
      </c>
      <c r="W1122">
        <v>1179</v>
      </c>
    </row>
    <row r="1123" spans="1:23" x14ac:dyDescent="0.25">
      <c r="H1123">
        <v>400</v>
      </c>
    </row>
    <row r="1124" spans="1:23" x14ac:dyDescent="0.25">
      <c r="A1124">
        <v>559</v>
      </c>
      <c r="B1124">
        <v>1206</v>
      </c>
      <c r="C1124" t="s">
        <v>1706</v>
      </c>
      <c r="D1124" t="s">
        <v>15</v>
      </c>
      <c r="E1124" t="s">
        <v>59</v>
      </c>
      <c r="F1124" t="s">
        <v>1707</v>
      </c>
      <c r="G1124" t="str">
        <f>"00009512"</f>
        <v>00009512</v>
      </c>
      <c r="H1124">
        <v>759</v>
      </c>
      <c r="I1124">
        <v>0</v>
      </c>
      <c r="J1124">
        <v>70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50</v>
      </c>
      <c r="S1124">
        <v>350</v>
      </c>
      <c r="T1124">
        <v>0</v>
      </c>
      <c r="V1124">
        <v>0</v>
      </c>
      <c r="W1124">
        <v>1179</v>
      </c>
    </row>
    <row r="1125" spans="1:23" x14ac:dyDescent="0.25">
      <c r="H1125">
        <v>400</v>
      </c>
    </row>
    <row r="1126" spans="1:23" x14ac:dyDescent="0.25">
      <c r="A1126">
        <v>560</v>
      </c>
      <c r="B1126">
        <v>1433</v>
      </c>
      <c r="C1126" t="s">
        <v>1708</v>
      </c>
      <c r="D1126" t="s">
        <v>313</v>
      </c>
      <c r="E1126" t="s">
        <v>408</v>
      </c>
      <c r="F1126" t="s">
        <v>1709</v>
      </c>
      <c r="G1126" t="str">
        <f>"201411001892"</f>
        <v>201411001892</v>
      </c>
      <c r="H1126" t="s">
        <v>235</v>
      </c>
      <c r="I1126">
        <v>0</v>
      </c>
      <c r="J1126">
        <v>70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16</v>
      </c>
      <c r="S1126">
        <v>112</v>
      </c>
      <c r="T1126">
        <v>0</v>
      </c>
      <c r="V1126">
        <v>0</v>
      </c>
      <c r="W1126" t="s">
        <v>1710</v>
      </c>
    </row>
    <row r="1127" spans="1:23" x14ac:dyDescent="0.25">
      <c r="H1127">
        <v>400</v>
      </c>
    </row>
    <row r="1128" spans="1:23" x14ac:dyDescent="0.25">
      <c r="A1128">
        <v>561</v>
      </c>
      <c r="B1128">
        <v>1462</v>
      </c>
      <c r="C1128" t="s">
        <v>1711</v>
      </c>
      <c r="D1128" t="s">
        <v>158</v>
      </c>
      <c r="E1128" t="s">
        <v>49</v>
      </c>
      <c r="F1128" t="s">
        <v>1712</v>
      </c>
      <c r="G1128" t="str">
        <f>"201412002502"</f>
        <v>201412002502</v>
      </c>
      <c r="H1128">
        <v>1023</v>
      </c>
      <c r="I1128">
        <v>0</v>
      </c>
      <c r="J1128">
        <v>70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12</v>
      </c>
      <c r="S1128">
        <v>84</v>
      </c>
      <c r="T1128">
        <v>0</v>
      </c>
      <c r="V1128">
        <v>0</v>
      </c>
      <c r="W1128">
        <v>1177</v>
      </c>
    </row>
    <row r="1129" spans="1:23" x14ac:dyDescent="0.25">
      <c r="H1129">
        <v>400</v>
      </c>
    </row>
    <row r="1130" spans="1:23" x14ac:dyDescent="0.25">
      <c r="A1130">
        <v>562</v>
      </c>
      <c r="B1130">
        <v>949</v>
      </c>
      <c r="C1130" t="s">
        <v>1713</v>
      </c>
      <c r="D1130" t="s">
        <v>792</v>
      </c>
      <c r="E1130" t="s">
        <v>27</v>
      </c>
      <c r="F1130" t="s">
        <v>1714</v>
      </c>
      <c r="G1130" t="str">
        <f>"201511037878"</f>
        <v>201511037878</v>
      </c>
      <c r="H1130" t="s">
        <v>1715</v>
      </c>
      <c r="I1130">
        <v>0</v>
      </c>
      <c r="J1130">
        <v>70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55</v>
      </c>
      <c r="S1130">
        <v>385</v>
      </c>
      <c r="T1130">
        <v>0</v>
      </c>
      <c r="V1130">
        <v>1</v>
      </c>
      <c r="W1130" t="s">
        <v>1716</v>
      </c>
    </row>
    <row r="1131" spans="1:23" x14ac:dyDescent="0.25">
      <c r="H1131">
        <v>400</v>
      </c>
    </row>
    <row r="1132" spans="1:23" x14ac:dyDescent="0.25">
      <c r="A1132">
        <v>563</v>
      </c>
      <c r="B1132">
        <v>1547</v>
      </c>
      <c r="C1132" t="s">
        <v>1717</v>
      </c>
      <c r="D1132" t="s">
        <v>209</v>
      </c>
      <c r="E1132" t="s">
        <v>71</v>
      </c>
      <c r="F1132" t="s">
        <v>1718</v>
      </c>
      <c r="G1132" t="str">
        <f>"00153952"</f>
        <v>00153952</v>
      </c>
      <c r="H1132">
        <v>858</v>
      </c>
      <c r="I1132">
        <v>0</v>
      </c>
      <c r="J1132">
        <v>30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41</v>
      </c>
      <c r="S1132">
        <v>287</v>
      </c>
      <c r="T1132">
        <v>0</v>
      </c>
      <c r="V1132">
        <v>0</v>
      </c>
      <c r="W1132">
        <v>1175</v>
      </c>
    </row>
    <row r="1133" spans="1:23" x14ac:dyDescent="0.25">
      <c r="H1133">
        <v>400</v>
      </c>
    </row>
    <row r="1134" spans="1:23" x14ac:dyDescent="0.25">
      <c r="A1134">
        <v>564</v>
      </c>
      <c r="B1134">
        <v>1111</v>
      </c>
      <c r="C1134" t="s">
        <v>1719</v>
      </c>
      <c r="D1134" t="s">
        <v>1720</v>
      </c>
      <c r="E1134" t="s">
        <v>263</v>
      </c>
      <c r="F1134" t="s">
        <v>1721</v>
      </c>
      <c r="G1134" t="str">
        <f>"201304002294"</f>
        <v>201304002294</v>
      </c>
      <c r="H1134" t="s">
        <v>603</v>
      </c>
      <c r="I1134">
        <v>0</v>
      </c>
      <c r="J1134">
        <v>70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36</v>
      </c>
      <c r="S1134">
        <v>252</v>
      </c>
      <c r="T1134">
        <v>0</v>
      </c>
      <c r="V1134">
        <v>0</v>
      </c>
      <c r="W1134" t="s">
        <v>1722</v>
      </c>
    </row>
    <row r="1135" spans="1:23" x14ac:dyDescent="0.25">
      <c r="H1135">
        <v>400</v>
      </c>
    </row>
    <row r="1136" spans="1:23" x14ac:dyDescent="0.25">
      <c r="A1136">
        <v>565</v>
      </c>
      <c r="B1136">
        <v>1752</v>
      </c>
      <c r="C1136" t="s">
        <v>1723</v>
      </c>
      <c r="D1136" t="s">
        <v>27</v>
      </c>
      <c r="E1136" t="s">
        <v>15</v>
      </c>
      <c r="F1136" t="s">
        <v>1724</v>
      </c>
      <c r="G1136" t="str">
        <f>"00217946"</f>
        <v>00217946</v>
      </c>
      <c r="H1136" t="s">
        <v>1725</v>
      </c>
      <c r="I1136">
        <v>150</v>
      </c>
      <c r="J1136">
        <v>70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46</v>
      </c>
      <c r="S1136">
        <v>322</v>
      </c>
      <c r="T1136">
        <v>0</v>
      </c>
      <c r="V1136">
        <v>0</v>
      </c>
      <c r="W1136" t="s">
        <v>1722</v>
      </c>
    </row>
    <row r="1137" spans="1:23" x14ac:dyDescent="0.25">
      <c r="H1137">
        <v>400</v>
      </c>
    </row>
    <row r="1138" spans="1:23" x14ac:dyDescent="0.25">
      <c r="A1138">
        <v>566</v>
      </c>
      <c r="B1138">
        <v>1521</v>
      </c>
      <c r="C1138" t="s">
        <v>1726</v>
      </c>
      <c r="D1138" t="s">
        <v>1727</v>
      </c>
      <c r="E1138" t="s">
        <v>1728</v>
      </c>
      <c r="F1138">
        <v>503428</v>
      </c>
      <c r="G1138" t="str">
        <f>"00198600"</f>
        <v>00198600</v>
      </c>
      <c r="H1138">
        <v>1012</v>
      </c>
      <c r="I1138">
        <v>0</v>
      </c>
      <c r="J1138">
        <v>70</v>
      </c>
      <c r="K1138">
        <v>0</v>
      </c>
      <c r="L1138">
        <v>50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6</v>
      </c>
      <c r="S1138">
        <v>42</v>
      </c>
      <c r="T1138">
        <v>0</v>
      </c>
      <c r="V1138">
        <v>0</v>
      </c>
      <c r="W1138">
        <v>1174</v>
      </c>
    </row>
    <row r="1139" spans="1:23" x14ac:dyDescent="0.25">
      <c r="H1139">
        <v>400</v>
      </c>
    </row>
    <row r="1140" spans="1:23" x14ac:dyDescent="0.25">
      <c r="A1140">
        <v>567</v>
      </c>
      <c r="B1140">
        <v>1049</v>
      </c>
      <c r="C1140" t="s">
        <v>1729</v>
      </c>
      <c r="D1140" t="s">
        <v>78</v>
      </c>
      <c r="E1140" t="s">
        <v>209</v>
      </c>
      <c r="F1140" t="s">
        <v>1730</v>
      </c>
      <c r="G1140" t="str">
        <f>"201304001989"</f>
        <v>201304001989</v>
      </c>
      <c r="H1140">
        <v>935</v>
      </c>
      <c r="I1140">
        <v>0</v>
      </c>
      <c r="J1140">
        <v>70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24</v>
      </c>
      <c r="S1140">
        <v>168</v>
      </c>
      <c r="T1140">
        <v>0</v>
      </c>
      <c r="V1140">
        <v>1</v>
      </c>
      <c r="W1140">
        <v>1173</v>
      </c>
    </row>
    <row r="1141" spans="1:23" x14ac:dyDescent="0.25">
      <c r="H1141">
        <v>400</v>
      </c>
    </row>
    <row r="1142" spans="1:23" x14ac:dyDescent="0.25">
      <c r="A1142">
        <v>568</v>
      </c>
      <c r="B1142">
        <v>142</v>
      </c>
      <c r="C1142" t="s">
        <v>1731</v>
      </c>
      <c r="D1142" t="s">
        <v>15</v>
      </c>
      <c r="E1142" t="s">
        <v>33</v>
      </c>
      <c r="F1142" t="s">
        <v>1732</v>
      </c>
      <c r="G1142" t="str">
        <f>"201406010546"</f>
        <v>201406010546</v>
      </c>
      <c r="H1142">
        <v>836</v>
      </c>
      <c r="I1142">
        <v>0</v>
      </c>
      <c r="J1142">
        <v>50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41</v>
      </c>
      <c r="S1142">
        <v>287</v>
      </c>
      <c r="T1142">
        <v>0</v>
      </c>
      <c r="V1142">
        <v>0</v>
      </c>
      <c r="W1142">
        <v>1173</v>
      </c>
    </row>
    <row r="1143" spans="1:23" x14ac:dyDescent="0.25">
      <c r="H1143">
        <v>400</v>
      </c>
    </row>
    <row r="1144" spans="1:23" x14ac:dyDescent="0.25">
      <c r="A1144">
        <v>569</v>
      </c>
      <c r="B1144">
        <v>1426</v>
      </c>
      <c r="C1144" t="s">
        <v>1733</v>
      </c>
      <c r="D1144" t="s">
        <v>1734</v>
      </c>
      <c r="E1144" t="s">
        <v>209</v>
      </c>
      <c r="F1144" t="s">
        <v>1735</v>
      </c>
      <c r="G1144" t="str">
        <f>"00214238"</f>
        <v>00214238</v>
      </c>
      <c r="H1144">
        <v>605</v>
      </c>
      <c r="I1144">
        <v>150</v>
      </c>
      <c r="J1144">
        <v>30</v>
      </c>
      <c r="K1144">
        <v>30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51</v>
      </c>
      <c r="S1144">
        <v>357</v>
      </c>
      <c r="T1144">
        <v>0</v>
      </c>
      <c r="V1144">
        <v>0</v>
      </c>
      <c r="W1144">
        <v>1172</v>
      </c>
    </row>
    <row r="1145" spans="1:23" x14ac:dyDescent="0.25">
      <c r="H1145">
        <v>400</v>
      </c>
    </row>
    <row r="1146" spans="1:23" x14ac:dyDescent="0.25">
      <c r="A1146">
        <v>570</v>
      </c>
      <c r="B1146">
        <v>1270</v>
      </c>
      <c r="C1146" t="s">
        <v>1736</v>
      </c>
      <c r="D1146" t="s">
        <v>520</v>
      </c>
      <c r="E1146" t="s">
        <v>49</v>
      </c>
      <c r="F1146" t="s">
        <v>1737</v>
      </c>
      <c r="G1146" t="str">
        <f>"00215214"</f>
        <v>00215214</v>
      </c>
      <c r="H1146">
        <v>869</v>
      </c>
      <c r="I1146">
        <v>0</v>
      </c>
      <c r="J1146">
        <v>50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36</v>
      </c>
      <c r="S1146">
        <v>252</v>
      </c>
      <c r="T1146">
        <v>0</v>
      </c>
      <c r="V1146">
        <v>0</v>
      </c>
      <c r="W1146">
        <v>1171</v>
      </c>
    </row>
    <row r="1147" spans="1:23" x14ac:dyDescent="0.25">
      <c r="H1147">
        <v>400</v>
      </c>
    </row>
    <row r="1148" spans="1:23" x14ac:dyDescent="0.25">
      <c r="A1148">
        <v>571</v>
      </c>
      <c r="B1148">
        <v>1802</v>
      </c>
      <c r="C1148" t="s">
        <v>1738</v>
      </c>
      <c r="D1148" t="s">
        <v>1739</v>
      </c>
      <c r="E1148" t="s">
        <v>1740</v>
      </c>
      <c r="F1148" t="s">
        <v>1741</v>
      </c>
      <c r="G1148" t="str">
        <f>"00209933"</f>
        <v>00209933</v>
      </c>
      <c r="H1148" t="s">
        <v>1742</v>
      </c>
      <c r="I1148">
        <v>0</v>
      </c>
      <c r="J1148">
        <v>50</v>
      </c>
      <c r="K1148">
        <v>0</v>
      </c>
      <c r="L1148">
        <v>0</v>
      </c>
      <c r="M1148">
        <v>70</v>
      </c>
      <c r="N1148">
        <v>0</v>
      </c>
      <c r="O1148">
        <v>0</v>
      </c>
      <c r="P1148">
        <v>50</v>
      </c>
      <c r="Q1148">
        <v>0</v>
      </c>
      <c r="R1148">
        <v>31</v>
      </c>
      <c r="S1148">
        <v>217</v>
      </c>
      <c r="T1148">
        <v>0</v>
      </c>
      <c r="V1148">
        <v>0</v>
      </c>
      <c r="W1148" t="s">
        <v>1743</v>
      </c>
    </row>
    <row r="1149" spans="1:23" x14ac:dyDescent="0.25">
      <c r="H1149" t="s">
        <v>76</v>
      </c>
    </row>
    <row r="1150" spans="1:23" x14ac:dyDescent="0.25">
      <c r="A1150">
        <v>572</v>
      </c>
      <c r="B1150">
        <v>474</v>
      </c>
      <c r="C1150" t="s">
        <v>1744</v>
      </c>
      <c r="D1150" t="s">
        <v>15</v>
      </c>
      <c r="E1150" t="s">
        <v>27</v>
      </c>
      <c r="F1150" t="s">
        <v>1745</v>
      </c>
      <c r="G1150" t="str">
        <f>"201402000912"</f>
        <v>201402000912</v>
      </c>
      <c r="H1150">
        <v>704</v>
      </c>
      <c r="I1150">
        <v>150</v>
      </c>
      <c r="J1150">
        <v>50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38</v>
      </c>
      <c r="S1150">
        <v>266</v>
      </c>
      <c r="T1150">
        <v>0</v>
      </c>
      <c r="V1150">
        <v>0</v>
      </c>
      <c r="W1150">
        <v>1170</v>
      </c>
    </row>
    <row r="1151" spans="1:23" x14ac:dyDescent="0.25">
      <c r="H1151" t="s">
        <v>76</v>
      </c>
    </row>
    <row r="1152" spans="1:23" x14ac:dyDescent="0.25">
      <c r="A1152">
        <v>573</v>
      </c>
      <c r="B1152">
        <v>1488</v>
      </c>
      <c r="C1152" t="s">
        <v>1746</v>
      </c>
      <c r="D1152" t="s">
        <v>157</v>
      </c>
      <c r="E1152" t="s">
        <v>1747</v>
      </c>
      <c r="F1152" t="s">
        <v>1748</v>
      </c>
      <c r="G1152" t="str">
        <f>"201401000743"</f>
        <v>201401000743</v>
      </c>
      <c r="H1152">
        <v>957</v>
      </c>
      <c r="I1152">
        <v>0</v>
      </c>
      <c r="J1152">
        <v>30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26</v>
      </c>
      <c r="S1152">
        <v>182</v>
      </c>
      <c r="T1152">
        <v>0</v>
      </c>
      <c r="V1152">
        <v>0</v>
      </c>
      <c r="W1152">
        <v>1169</v>
      </c>
    </row>
    <row r="1153" spans="1:23" x14ac:dyDescent="0.25">
      <c r="H1153">
        <v>400</v>
      </c>
    </row>
    <row r="1154" spans="1:23" x14ac:dyDescent="0.25">
      <c r="A1154">
        <v>574</v>
      </c>
      <c r="B1154">
        <v>1211</v>
      </c>
      <c r="C1154" t="s">
        <v>1749</v>
      </c>
      <c r="D1154" t="s">
        <v>1750</v>
      </c>
      <c r="E1154" t="s">
        <v>158</v>
      </c>
      <c r="F1154" t="s">
        <v>1751</v>
      </c>
      <c r="G1154" t="str">
        <f>"00198616"</f>
        <v>00198616</v>
      </c>
      <c r="H1154">
        <v>803</v>
      </c>
      <c r="I1154">
        <v>0</v>
      </c>
      <c r="J1154">
        <v>70</v>
      </c>
      <c r="K1154">
        <v>0</v>
      </c>
      <c r="L1154">
        <v>30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38</v>
      </c>
      <c r="S1154">
        <v>266</v>
      </c>
      <c r="T1154">
        <v>0</v>
      </c>
      <c r="V1154">
        <v>0</v>
      </c>
      <c r="W1154">
        <v>1169</v>
      </c>
    </row>
    <row r="1155" spans="1:23" x14ac:dyDescent="0.25">
      <c r="H1155">
        <v>400</v>
      </c>
    </row>
    <row r="1156" spans="1:23" x14ac:dyDescent="0.25">
      <c r="A1156">
        <v>575</v>
      </c>
      <c r="B1156">
        <v>503</v>
      </c>
      <c r="C1156" t="s">
        <v>1752</v>
      </c>
      <c r="D1156" t="s">
        <v>1297</v>
      </c>
      <c r="E1156" t="s">
        <v>942</v>
      </c>
      <c r="F1156" t="s">
        <v>1753</v>
      </c>
      <c r="G1156" t="str">
        <f>"00149917"</f>
        <v>00149917</v>
      </c>
      <c r="H1156">
        <v>550</v>
      </c>
      <c r="I1156">
        <v>0</v>
      </c>
      <c r="J1156">
        <v>30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84</v>
      </c>
      <c r="S1156">
        <v>588</v>
      </c>
      <c r="T1156">
        <v>0</v>
      </c>
      <c r="V1156">
        <v>2</v>
      </c>
      <c r="W1156">
        <v>1168</v>
      </c>
    </row>
    <row r="1157" spans="1:23" x14ac:dyDescent="0.25">
      <c r="H1157">
        <v>400</v>
      </c>
    </row>
    <row r="1158" spans="1:23" x14ac:dyDescent="0.25">
      <c r="A1158">
        <v>576</v>
      </c>
      <c r="B1158">
        <v>1079</v>
      </c>
      <c r="C1158" t="s">
        <v>1754</v>
      </c>
      <c r="D1158" t="s">
        <v>132</v>
      </c>
      <c r="E1158" t="s">
        <v>828</v>
      </c>
      <c r="F1158" t="s">
        <v>1755</v>
      </c>
      <c r="G1158" t="str">
        <f>"00215098"</f>
        <v>00215098</v>
      </c>
      <c r="H1158" t="s">
        <v>1756</v>
      </c>
      <c r="I1158">
        <v>0</v>
      </c>
      <c r="J1158">
        <v>50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84</v>
      </c>
      <c r="S1158">
        <v>588</v>
      </c>
      <c r="T1158">
        <v>0</v>
      </c>
      <c r="V1158">
        <v>0</v>
      </c>
      <c r="W1158" t="s">
        <v>1757</v>
      </c>
    </row>
    <row r="1159" spans="1:23" x14ac:dyDescent="0.25">
      <c r="H1159">
        <v>400</v>
      </c>
    </row>
    <row r="1160" spans="1:23" x14ac:dyDescent="0.25">
      <c r="A1160">
        <v>577</v>
      </c>
      <c r="B1160">
        <v>976</v>
      </c>
      <c r="C1160" t="s">
        <v>1030</v>
      </c>
      <c r="D1160" t="s">
        <v>918</v>
      </c>
      <c r="E1160" t="s">
        <v>209</v>
      </c>
      <c r="F1160" t="s">
        <v>1758</v>
      </c>
      <c r="G1160" t="str">
        <f>"200801005600"</f>
        <v>200801005600</v>
      </c>
      <c r="H1160">
        <v>946</v>
      </c>
      <c r="I1160">
        <v>150</v>
      </c>
      <c r="J1160">
        <v>70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V1160">
        <v>0</v>
      </c>
      <c r="W1160">
        <v>1166</v>
      </c>
    </row>
    <row r="1161" spans="1:23" x14ac:dyDescent="0.25">
      <c r="H1161">
        <v>400</v>
      </c>
    </row>
    <row r="1162" spans="1:23" x14ac:dyDescent="0.25">
      <c r="A1162">
        <v>578</v>
      </c>
      <c r="B1162">
        <v>1729</v>
      </c>
      <c r="C1162" t="s">
        <v>1759</v>
      </c>
      <c r="D1162" t="s">
        <v>1760</v>
      </c>
      <c r="E1162" t="s">
        <v>209</v>
      </c>
      <c r="F1162" t="s">
        <v>1761</v>
      </c>
      <c r="G1162" t="str">
        <f>"00215176"</f>
        <v>00215176</v>
      </c>
      <c r="H1162">
        <v>935</v>
      </c>
      <c r="I1162">
        <v>0</v>
      </c>
      <c r="J1162">
        <v>70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23</v>
      </c>
      <c r="S1162">
        <v>161</v>
      </c>
      <c r="T1162">
        <v>0</v>
      </c>
      <c r="V1162">
        <v>0</v>
      </c>
      <c r="W1162">
        <v>1166</v>
      </c>
    </row>
    <row r="1163" spans="1:23" x14ac:dyDescent="0.25">
      <c r="H1163">
        <v>400</v>
      </c>
    </row>
    <row r="1164" spans="1:23" x14ac:dyDescent="0.25">
      <c r="A1164">
        <v>579</v>
      </c>
      <c r="B1164">
        <v>246</v>
      </c>
      <c r="C1164" t="s">
        <v>1762</v>
      </c>
      <c r="D1164" t="s">
        <v>1763</v>
      </c>
      <c r="E1164" t="s">
        <v>942</v>
      </c>
      <c r="F1164" t="s">
        <v>1764</v>
      </c>
      <c r="G1164" t="str">
        <f>"00213347"</f>
        <v>00213347</v>
      </c>
      <c r="H1164">
        <v>770</v>
      </c>
      <c r="I1164">
        <v>0</v>
      </c>
      <c r="J1164">
        <v>30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52</v>
      </c>
      <c r="S1164">
        <v>364</v>
      </c>
      <c r="T1164">
        <v>0</v>
      </c>
      <c r="V1164">
        <v>0</v>
      </c>
      <c r="W1164">
        <v>1164</v>
      </c>
    </row>
    <row r="1165" spans="1:23" x14ac:dyDescent="0.25">
      <c r="H1165">
        <v>400</v>
      </c>
    </row>
    <row r="1166" spans="1:23" x14ac:dyDescent="0.25">
      <c r="A1166">
        <v>580</v>
      </c>
      <c r="B1166">
        <v>901</v>
      </c>
      <c r="C1166" t="s">
        <v>1765</v>
      </c>
      <c r="D1166" t="s">
        <v>157</v>
      </c>
      <c r="E1166" t="s">
        <v>27</v>
      </c>
      <c r="F1166" t="s">
        <v>1766</v>
      </c>
      <c r="G1166" t="str">
        <f>"00215455"</f>
        <v>00215455</v>
      </c>
      <c r="H1166">
        <v>1023</v>
      </c>
      <c r="I1166">
        <v>0</v>
      </c>
      <c r="J1166">
        <v>70</v>
      </c>
      <c r="K1166">
        <v>0</v>
      </c>
      <c r="L1166">
        <v>70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V1166">
        <v>0</v>
      </c>
      <c r="W1166">
        <v>1163</v>
      </c>
    </row>
    <row r="1167" spans="1:23" x14ac:dyDescent="0.25">
      <c r="H1167">
        <v>400</v>
      </c>
    </row>
    <row r="1168" spans="1:23" x14ac:dyDescent="0.25">
      <c r="A1168">
        <v>581</v>
      </c>
      <c r="B1168">
        <v>1693</v>
      </c>
      <c r="C1168" t="s">
        <v>1767</v>
      </c>
      <c r="D1168" t="s">
        <v>158</v>
      </c>
      <c r="E1168" t="s">
        <v>163</v>
      </c>
      <c r="F1168" t="s">
        <v>1768</v>
      </c>
      <c r="G1168" t="str">
        <f>"00017943"</f>
        <v>00017943</v>
      </c>
      <c r="H1168" t="s">
        <v>285</v>
      </c>
      <c r="I1168">
        <v>0</v>
      </c>
      <c r="J1168">
        <v>30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29</v>
      </c>
      <c r="S1168">
        <v>203</v>
      </c>
      <c r="T1168">
        <v>0</v>
      </c>
      <c r="V1168">
        <v>0</v>
      </c>
      <c r="W1168" t="s">
        <v>1769</v>
      </c>
    </row>
    <row r="1169" spans="1:23" x14ac:dyDescent="0.25">
      <c r="H1169">
        <v>400</v>
      </c>
    </row>
    <row r="1170" spans="1:23" x14ac:dyDescent="0.25">
      <c r="A1170">
        <v>582</v>
      </c>
      <c r="B1170">
        <v>612</v>
      </c>
      <c r="C1170" t="s">
        <v>1770</v>
      </c>
      <c r="D1170" t="s">
        <v>27</v>
      </c>
      <c r="E1170" t="s">
        <v>241</v>
      </c>
      <c r="F1170" t="s">
        <v>1771</v>
      </c>
      <c r="G1170" t="str">
        <f>"201511005448"</f>
        <v>201511005448</v>
      </c>
      <c r="H1170" t="s">
        <v>710</v>
      </c>
      <c r="I1170">
        <v>150</v>
      </c>
      <c r="J1170">
        <v>30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17</v>
      </c>
      <c r="S1170">
        <v>119</v>
      </c>
      <c r="T1170">
        <v>0</v>
      </c>
      <c r="V1170">
        <v>0</v>
      </c>
      <c r="W1170" t="s">
        <v>1769</v>
      </c>
    </row>
    <row r="1171" spans="1:23" x14ac:dyDescent="0.25">
      <c r="H1171">
        <v>400</v>
      </c>
    </row>
    <row r="1172" spans="1:23" x14ac:dyDescent="0.25">
      <c r="A1172">
        <v>583</v>
      </c>
      <c r="B1172">
        <v>1483</v>
      </c>
      <c r="C1172" t="s">
        <v>1772</v>
      </c>
      <c r="D1172" t="s">
        <v>97</v>
      </c>
      <c r="E1172" t="s">
        <v>209</v>
      </c>
      <c r="F1172" t="s">
        <v>1773</v>
      </c>
      <c r="G1172" t="str">
        <f>"00138248"</f>
        <v>00138248</v>
      </c>
      <c r="H1172">
        <v>1056</v>
      </c>
      <c r="I1172">
        <v>0</v>
      </c>
      <c r="J1172">
        <v>70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5</v>
      </c>
      <c r="S1172">
        <v>35</v>
      </c>
      <c r="T1172">
        <v>0</v>
      </c>
      <c r="V1172">
        <v>0</v>
      </c>
      <c r="W1172">
        <v>1161</v>
      </c>
    </row>
    <row r="1173" spans="1:23" x14ac:dyDescent="0.25">
      <c r="H1173">
        <v>400</v>
      </c>
    </row>
    <row r="1174" spans="1:23" x14ac:dyDescent="0.25">
      <c r="A1174">
        <v>584</v>
      </c>
      <c r="B1174">
        <v>765</v>
      </c>
      <c r="C1174" t="s">
        <v>755</v>
      </c>
      <c r="D1174" t="s">
        <v>212</v>
      </c>
      <c r="E1174" t="s">
        <v>263</v>
      </c>
      <c r="F1174" t="s">
        <v>1774</v>
      </c>
      <c r="G1174" t="str">
        <f>"201409003057"</f>
        <v>201409003057</v>
      </c>
      <c r="H1174" t="s">
        <v>472</v>
      </c>
      <c r="I1174">
        <v>150</v>
      </c>
      <c r="J1174">
        <v>70</v>
      </c>
      <c r="K1174">
        <v>30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5</v>
      </c>
      <c r="S1174">
        <v>35</v>
      </c>
      <c r="T1174">
        <v>0</v>
      </c>
      <c r="V1174">
        <v>0</v>
      </c>
      <c r="W1174" t="s">
        <v>1775</v>
      </c>
    </row>
    <row r="1175" spans="1:23" x14ac:dyDescent="0.25">
      <c r="H1175">
        <v>400</v>
      </c>
    </row>
    <row r="1176" spans="1:23" x14ac:dyDescent="0.25">
      <c r="A1176">
        <v>585</v>
      </c>
      <c r="B1176">
        <v>229</v>
      </c>
      <c r="C1176" t="s">
        <v>1776</v>
      </c>
      <c r="D1176" t="s">
        <v>71</v>
      </c>
      <c r="E1176" t="s">
        <v>291</v>
      </c>
      <c r="F1176" t="s">
        <v>1777</v>
      </c>
      <c r="G1176" t="str">
        <f>"00111041"</f>
        <v>00111041</v>
      </c>
      <c r="H1176">
        <v>979</v>
      </c>
      <c r="I1176">
        <v>150</v>
      </c>
      <c r="J1176">
        <v>30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V1176">
        <v>0</v>
      </c>
      <c r="W1176">
        <v>1159</v>
      </c>
    </row>
    <row r="1177" spans="1:23" x14ac:dyDescent="0.25">
      <c r="H1177">
        <v>400</v>
      </c>
    </row>
    <row r="1178" spans="1:23" x14ac:dyDescent="0.25">
      <c r="A1178">
        <v>586</v>
      </c>
      <c r="B1178">
        <v>707</v>
      </c>
      <c r="C1178" t="s">
        <v>1778</v>
      </c>
      <c r="D1178" t="s">
        <v>247</v>
      </c>
      <c r="E1178" t="s">
        <v>15</v>
      </c>
      <c r="F1178" t="s">
        <v>1779</v>
      </c>
      <c r="G1178" t="str">
        <f>"00216522"</f>
        <v>00216522</v>
      </c>
      <c r="H1178" t="s">
        <v>249</v>
      </c>
      <c r="I1178">
        <v>0</v>
      </c>
      <c r="J1178">
        <v>30</v>
      </c>
      <c r="K1178">
        <v>30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21</v>
      </c>
      <c r="S1178">
        <v>147</v>
      </c>
      <c r="T1178">
        <v>0</v>
      </c>
      <c r="V1178">
        <v>2</v>
      </c>
      <c r="W1178" t="s">
        <v>1780</v>
      </c>
    </row>
    <row r="1179" spans="1:23" x14ac:dyDescent="0.25">
      <c r="H1179">
        <v>400</v>
      </c>
    </row>
    <row r="1180" spans="1:23" x14ac:dyDescent="0.25">
      <c r="A1180">
        <v>587</v>
      </c>
      <c r="B1180">
        <v>1858</v>
      </c>
      <c r="C1180" t="s">
        <v>1781</v>
      </c>
      <c r="D1180" t="s">
        <v>467</v>
      </c>
      <c r="E1180" t="s">
        <v>158</v>
      </c>
      <c r="F1180" t="s">
        <v>1782</v>
      </c>
      <c r="G1180" t="str">
        <f>"201507001036"</f>
        <v>201507001036</v>
      </c>
      <c r="H1180" t="s">
        <v>1205</v>
      </c>
      <c r="I1180">
        <v>0</v>
      </c>
      <c r="J1180">
        <v>30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63</v>
      </c>
      <c r="S1180">
        <v>441</v>
      </c>
      <c r="T1180">
        <v>0</v>
      </c>
      <c r="V1180">
        <v>0</v>
      </c>
      <c r="W1180" t="s">
        <v>1780</v>
      </c>
    </row>
    <row r="1181" spans="1:23" x14ac:dyDescent="0.25">
      <c r="H1181">
        <v>400</v>
      </c>
    </row>
    <row r="1182" spans="1:23" x14ac:dyDescent="0.25">
      <c r="A1182">
        <v>588</v>
      </c>
      <c r="B1182">
        <v>1238</v>
      </c>
      <c r="C1182" t="s">
        <v>1783</v>
      </c>
      <c r="D1182" t="s">
        <v>49</v>
      </c>
      <c r="E1182" t="s">
        <v>610</v>
      </c>
      <c r="F1182" t="s">
        <v>1784</v>
      </c>
      <c r="G1182" t="str">
        <f>"201511027959"</f>
        <v>201511027959</v>
      </c>
      <c r="H1182">
        <v>880</v>
      </c>
      <c r="I1182">
        <v>0</v>
      </c>
      <c r="J1182">
        <v>30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35</v>
      </c>
      <c r="S1182">
        <v>245</v>
      </c>
      <c r="T1182">
        <v>0</v>
      </c>
      <c r="V1182">
        <v>0</v>
      </c>
      <c r="W1182">
        <v>1155</v>
      </c>
    </row>
    <row r="1183" spans="1:23" x14ac:dyDescent="0.25">
      <c r="H1183">
        <v>400</v>
      </c>
    </row>
    <row r="1184" spans="1:23" x14ac:dyDescent="0.25">
      <c r="A1184">
        <v>589</v>
      </c>
      <c r="B1184">
        <v>1819</v>
      </c>
      <c r="C1184" t="s">
        <v>1785</v>
      </c>
      <c r="D1184" t="s">
        <v>864</v>
      </c>
      <c r="E1184" t="s">
        <v>27</v>
      </c>
      <c r="F1184" t="s">
        <v>1786</v>
      </c>
      <c r="G1184" t="str">
        <f>"00108663"</f>
        <v>00108663</v>
      </c>
      <c r="H1184">
        <v>825</v>
      </c>
      <c r="I1184">
        <v>0</v>
      </c>
      <c r="J1184">
        <v>50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40</v>
      </c>
      <c r="S1184">
        <v>280</v>
      </c>
      <c r="T1184">
        <v>0</v>
      </c>
      <c r="V1184">
        <v>0</v>
      </c>
      <c r="W1184">
        <v>1155</v>
      </c>
    </row>
    <row r="1185" spans="1:23" x14ac:dyDescent="0.25">
      <c r="H1185">
        <v>400</v>
      </c>
    </row>
    <row r="1186" spans="1:23" x14ac:dyDescent="0.25">
      <c r="A1186">
        <v>590</v>
      </c>
      <c r="B1186">
        <v>1280</v>
      </c>
      <c r="C1186" t="s">
        <v>1787</v>
      </c>
      <c r="D1186" t="s">
        <v>1788</v>
      </c>
      <c r="E1186" t="s">
        <v>1789</v>
      </c>
      <c r="F1186" t="s">
        <v>1790</v>
      </c>
      <c r="G1186" t="str">
        <f>"00017733"</f>
        <v>00017733</v>
      </c>
      <c r="H1186">
        <v>935</v>
      </c>
      <c r="I1186">
        <v>0</v>
      </c>
      <c r="J1186">
        <v>30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27</v>
      </c>
      <c r="S1186">
        <v>189</v>
      </c>
      <c r="T1186">
        <v>0</v>
      </c>
      <c r="V1186">
        <v>0</v>
      </c>
      <c r="W1186">
        <v>1154</v>
      </c>
    </row>
    <row r="1187" spans="1:23" x14ac:dyDescent="0.25">
      <c r="H1187">
        <v>400</v>
      </c>
    </row>
    <row r="1188" spans="1:23" x14ac:dyDescent="0.25">
      <c r="A1188">
        <v>591</v>
      </c>
      <c r="B1188">
        <v>1561</v>
      </c>
      <c r="C1188" t="s">
        <v>1791</v>
      </c>
      <c r="D1188" t="s">
        <v>78</v>
      </c>
      <c r="E1188" t="s">
        <v>299</v>
      </c>
      <c r="F1188" t="s">
        <v>1792</v>
      </c>
      <c r="G1188" t="str">
        <f>"00045602"</f>
        <v>00045602</v>
      </c>
      <c r="H1188">
        <v>825</v>
      </c>
      <c r="I1188">
        <v>150</v>
      </c>
      <c r="J1188">
        <v>30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21</v>
      </c>
      <c r="S1188">
        <v>147</v>
      </c>
      <c r="T1188">
        <v>0</v>
      </c>
      <c r="V1188">
        <v>0</v>
      </c>
      <c r="W1188">
        <v>1152</v>
      </c>
    </row>
    <row r="1189" spans="1:23" x14ac:dyDescent="0.25">
      <c r="H1189">
        <v>400</v>
      </c>
    </row>
    <row r="1190" spans="1:23" x14ac:dyDescent="0.25">
      <c r="A1190">
        <v>592</v>
      </c>
      <c r="B1190">
        <v>803</v>
      </c>
      <c r="C1190" t="s">
        <v>1793</v>
      </c>
      <c r="D1190" t="s">
        <v>111</v>
      </c>
      <c r="E1190" t="s">
        <v>408</v>
      </c>
      <c r="F1190" t="s">
        <v>1794</v>
      </c>
      <c r="G1190" t="str">
        <f>"00125852"</f>
        <v>00125852</v>
      </c>
      <c r="H1190" t="s">
        <v>120</v>
      </c>
      <c r="I1190">
        <v>0</v>
      </c>
      <c r="J1190">
        <v>70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9</v>
      </c>
      <c r="S1190">
        <v>63</v>
      </c>
      <c r="T1190">
        <v>0</v>
      </c>
      <c r="V1190">
        <v>2</v>
      </c>
      <c r="W1190" t="s">
        <v>1795</v>
      </c>
    </row>
    <row r="1191" spans="1:23" x14ac:dyDescent="0.25">
      <c r="H1191">
        <v>400</v>
      </c>
    </row>
    <row r="1192" spans="1:23" x14ac:dyDescent="0.25">
      <c r="A1192">
        <v>593</v>
      </c>
      <c r="B1192">
        <v>1727</v>
      </c>
      <c r="C1192" t="s">
        <v>1796</v>
      </c>
      <c r="D1192" t="s">
        <v>1797</v>
      </c>
      <c r="E1192" t="s">
        <v>59</v>
      </c>
      <c r="F1192" t="s">
        <v>1798</v>
      </c>
      <c r="G1192" t="str">
        <f>"00217107"</f>
        <v>00217107</v>
      </c>
      <c r="H1192" t="s">
        <v>285</v>
      </c>
      <c r="I1192">
        <v>150</v>
      </c>
      <c r="J1192">
        <v>70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V1192">
        <v>0</v>
      </c>
      <c r="W1192" t="s">
        <v>1799</v>
      </c>
    </row>
    <row r="1193" spans="1:23" x14ac:dyDescent="0.25">
      <c r="H1193">
        <v>400</v>
      </c>
    </row>
    <row r="1194" spans="1:23" x14ac:dyDescent="0.25">
      <c r="A1194">
        <v>594</v>
      </c>
      <c r="B1194">
        <v>1487</v>
      </c>
      <c r="C1194" t="s">
        <v>1465</v>
      </c>
      <c r="D1194" t="s">
        <v>1546</v>
      </c>
      <c r="E1194" t="s">
        <v>87</v>
      </c>
      <c r="F1194" t="s">
        <v>1800</v>
      </c>
      <c r="G1194" t="str">
        <f>"00134614"</f>
        <v>00134614</v>
      </c>
      <c r="H1194">
        <v>935</v>
      </c>
      <c r="I1194">
        <v>0</v>
      </c>
      <c r="J1194">
        <v>70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20</v>
      </c>
      <c r="S1194">
        <v>140</v>
      </c>
      <c r="T1194">
        <v>0</v>
      </c>
      <c r="V1194">
        <v>0</v>
      </c>
      <c r="W1194">
        <v>1145</v>
      </c>
    </row>
    <row r="1195" spans="1:23" x14ac:dyDescent="0.25">
      <c r="H1195">
        <v>400</v>
      </c>
    </row>
    <row r="1196" spans="1:23" x14ac:dyDescent="0.25">
      <c r="A1196">
        <v>595</v>
      </c>
      <c r="B1196">
        <v>673</v>
      </c>
      <c r="C1196" t="s">
        <v>1801</v>
      </c>
      <c r="D1196" t="s">
        <v>1802</v>
      </c>
      <c r="E1196" t="s">
        <v>21</v>
      </c>
      <c r="F1196" t="s">
        <v>1803</v>
      </c>
      <c r="G1196" t="str">
        <f>"00148848"</f>
        <v>00148848</v>
      </c>
      <c r="H1196">
        <v>748</v>
      </c>
      <c r="I1196">
        <v>150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35</v>
      </c>
      <c r="S1196">
        <v>245</v>
      </c>
      <c r="T1196">
        <v>0</v>
      </c>
      <c r="V1196">
        <v>0</v>
      </c>
      <c r="W1196">
        <v>1143</v>
      </c>
    </row>
    <row r="1197" spans="1:23" x14ac:dyDescent="0.25">
      <c r="H1197" t="s">
        <v>76</v>
      </c>
    </row>
    <row r="1198" spans="1:23" x14ac:dyDescent="0.25">
      <c r="A1198">
        <v>596</v>
      </c>
      <c r="B1198">
        <v>948</v>
      </c>
      <c r="C1198" t="s">
        <v>1804</v>
      </c>
      <c r="D1198" t="s">
        <v>1805</v>
      </c>
      <c r="E1198" t="s">
        <v>1806</v>
      </c>
      <c r="F1198" t="s">
        <v>1807</v>
      </c>
      <c r="G1198" t="str">
        <f>"00104458"</f>
        <v>00104458</v>
      </c>
      <c r="H1198" t="s">
        <v>189</v>
      </c>
      <c r="I1198">
        <v>0</v>
      </c>
      <c r="J1198">
        <v>50</v>
      </c>
      <c r="K1198">
        <v>0</v>
      </c>
      <c r="L1198">
        <v>30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V1198">
        <v>0</v>
      </c>
      <c r="W1198" t="s">
        <v>1808</v>
      </c>
    </row>
    <row r="1199" spans="1:23" x14ac:dyDescent="0.25">
      <c r="H1199">
        <v>400</v>
      </c>
    </row>
    <row r="1200" spans="1:23" x14ac:dyDescent="0.25">
      <c r="A1200">
        <v>597</v>
      </c>
      <c r="B1200">
        <v>1396</v>
      </c>
      <c r="C1200" t="s">
        <v>1809</v>
      </c>
      <c r="D1200" t="s">
        <v>1810</v>
      </c>
      <c r="E1200" t="s">
        <v>209</v>
      </c>
      <c r="F1200" t="s">
        <v>1811</v>
      </c>
      <c r="G1200" t="str">
        <f>"201402012448"</f>
        <v>201402012448</v>
      </c>
      <c r="H1200" t="s">
        <v>1317</v>
      </c>
      <c r="I1200">
        <v>0</v>
      </c>
      <c r="J1200">
        <v>50</v>
      </c>
      <c r="K1200">
        <v>30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47</v>
      </c>
      <c r="S1200">
        <v>329</v>
      </c>
      <c r="T1200">
        <v>0</v>
      </c>
      <c r="V1200">
        <v>1</v>
      </c>
      <c r="W1200" t="s">
        <v>1812</v>
      </c>
    </row>
    <row r="1201" spans="1:23" x14ac:dyDescent="0.25">
      <c r="H1201">
        <v>400</v>
      </c>
    </row>
    <row r="1202" spans="1:23" x14ac:dyDescent="0.25">
      <c r="A1202">
        <v>598</v>
      </c>
      <c r="B1202">
        <v>1710</v>
      </c>
      <c r="C1202" t="s">
        <v>1813</v>
      </c>
      <c r="D1202" t="s">
        <v>180</v>
      </c>
      <c r="E1202" t="s">
        <v>15</v>
      </c>
      <c r="F1202" t="s">
        <v>1814</v>
      </c>
      <c r="G1202" t="str">
        <f>"00214430"</f>
        <v>00214430</v>
      </c>
      <c r="H1202" t="s">
        <v>35</v>
      </c>
      <c r="I1202">
        <v>0</v>
      </c>
      <c r="J1202">
        <v>70</v>
      </c>
      <c r="K1202">
        <v>0</v>
      </c>
      <c r="L1202">
        <v>0</v>
      </c>
      <c r="M1202">
        <v>30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V1202">
        <v>1</v>
      </c>
      <c r="W1202" t="s">
        <v>1815</v>
      </c>
    </row>
    <row r="1203" spans="1:23" x14ac:dyDescent="0.25">
      <c r="H1203">
        <v>400</v>
      </c>
    </row>
    <row r="1204" spans="1:23" x14ac:dyDescent="0.25">
      <c r="A1204">
        <v>599</v>
      </c>
      <c r="B1204">
        <v>1685</v>
      </c>
      <c r="C1204" t="s">
        <v>1816</v>
      </c>
      <c r="D1204" t="s">
        <v>468</v>
      </c>
      <c r="E1204" t="s">
        <v>21</v>
      </c>
      <c r="F1204" t="s">
        <v>1817</v>
      </c>
      <c r="G1204" t="str">
        <f>"201406002049"</f>
        <v>201406002049</v>
      </c>
      <c r="H1204">
        <v>1089</v>
      </c>
      <c r="I1204">
        <v>0</v>
      </c>
      <c r="J1204">
        <v>50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V1204">
        <v>1</v>
      </c>
      <c r="W1204">
        <v>1139</v>
      </c>
    </row>
    <row r="1205" spans="1:23" x14ac:dyDescent="0.25">
      <c r="H1205">
        <v>400</v>
      </c>
    </row>
    <row r="1206" spans="1:23" x14ac:dyDescent="0.25">
      <c r="A1206">
        <v>600</v>
      </c>
      <c r="B1206">
        <v>579</v>
      </c>
      <c r="C1206" t="s">
        <v>1186</v>
      </c>
      <c r="D1206" t="s">
        <v>401</v>
      </c>
      <c r="E1206" t="s">
        <v>462</v>
      </c>
      <c r="F1206" t="s">
        <v>1818</v>
      </c>
      <c r="G1206" t="str">
        <f>"00216787"</f>
        <v>00216787</v>
      </c>
      <c r="H1206" t="s">
        <v>410</v>
      </c>
      <c r="I1206">
        <v>0</v>
      </c>
      <c r="J1206">
        <v>70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12</v>
      </c>
      <c r="S1206">
        <v>84</v>
      </c>
      <c r="T1206">
        <v>0</v>
      </c>
      <c r="V1206">
        <v>2</v>
      </c>
      <c r="W1206" t="s">
        <v>1819</v>
      </c>
    </row>
    <row r="1207" spans="1:23" x14ac:dyDescent="0.25">
      <c r="H1207">
        <v>400</v>
      </c>
    </row>
    <row r="1208" spans="1:23" x14ac:dyDescent="0.25">
      <c r="A1208">
        <v>601</v>
      </c>
      <c r="B1208">
        <v>1764</v>
      </c>
      <c r="C1208" t="s">
        <v>1820</v>
      </c>
      <c r="D1208" t="s">
        <v>1734</v>
      </c>
      <c r="E1208" t="s">
        <v>291</v>
      </c>
      <c r="F1208" t="s">
        <v>1821</v>
      </c>
      <c r="G1208" t="str">
        <f>"00205467"</f>
        <v>00205467</v>
      </c>
      <c r="H1208">
        <v>836</v>
      </c>
      <c r="I1208">
        <v>0</v>
      </c>
      <c r="J1208">
        <v>50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36</v>
      </c>
      <c r="S1208">
        <v>252</v>
      </c>
      <c r="T1208">
        <v>0</v>
      </c>
      <c r="V1208">
        <v>0</v>
      </c>
      <c r="W1208">
        <v>1138</v>
      </c>
    </row>
    <row r="1209" spans="1:23" x14ac:dyDescent="0.25">
      <c r="H1209" t="s">
        <v>76</v>
      </c>
    </row>
    <row r="1210" spans="1:23" x14ac:dyDescent="0.25">
      <c r="A1210">
        <v>602</v>
      </c>
      <c r="B1210">
        <v>1795</v>
      </c>
      <c r="C1210" t="s">
        <v>650</v>
      </c>
      <c r="D1210" t="s">
        <v>839</v>
      </c>
      <c r="E1210" t="s">
        <v>291</v>
      </c>
      <c r="F1210" t="s">
        <v>1822</v>
      </c>
      <c r="G1210" t="str">
        <f>"201304005254"</f>
        <v>201304005254</v>
      </c>
      <c r="H1210" t="s">
        <v>235</v>
      </c>
      <c r="I1210">
        <v>0</v>
      </c>
      <c r="J1210">
        <v>30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16</v>
      </c>
      <c r="S1210">
        <v>112</v>
      </c>
      <c r="T1210">
        <v>0</v>
      </c>
      <c r="V1210">
        <v>0</v>
      </c>
      <c r="W1210" t="s">
        <v>1823</v>
      </c>
    </row>
    <row r="1211" spans="1:23" x14ac:dyDescent="0.25">
      <c r="H1211">
        <v>400</v>
      </c>
    </row>
    <row r="1212" spans="1:23" x14ac:dyDescent="0.25">
      <c r="A1212">
        <v>603</v>
      </c>
      <c r="B1212">
        <v>1057</v>
      </c>
      <c r="C1212" t="s">
        <v>755</v>
      </c>
      <c r="D1212" t="s">
        <v>313</v>
      </c>
      <c r="E1212" t="s">
        <v>33</v>
      </c>
      <c r="F1212" t="s">
        <v>1824</v>
      </c>
      <c r="G1212" t="str">
        <f>"201511012569"</f>
        <v>201511012569</v>
      </c>
      <c r="H1212">
        <v>858</v>
      </c>
      <c r="I1212">
        <v>150</v>
      </c>
      <c r="J1212">
        <v>30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14</v>
      </c>
      <c r="S1212">
        <v>98</v>
      </c>
      <c r="T1212">
        <v>0</v>
      </c>
      <c r="V1212">
        <v>2</v>
      </c>
      <c r="W1212">
        <v>1136</v>
      </c>
    </row>
    <row r="1213" spans="1:23" x14ac:dyDescent="0.25">
      <c r="H1213">
        <v>400</v>
      </c>
    </row>
    <row r="1214" spans="1:23" x14ac:dyDescent="0.25">
      <c r="A1214">
        <v>604</v>
      </c>
      <c r="B1214">
        <v>1216</v>
      </c>
      <c r="C1214" t="s">
        <v>1825</v>
      </c>
      <c r="D1214" t="s">
        <v>414</v>
      </c>
      <c r="E1214" t="s">
        <v>687</v>
      </c>
      <c r="F1214" t="s">
        <v>1826</v>
      </c>
      <c r="G1214" t="str">
        <f>"201303000203"</f>
        <v>201303000203</v>
      </c>
      <c r="H1214">
        <v>803</v>
      </c>
      <c r="I1214">
        <v>0</v>
      </c>
      <c r="J1214">
        <v>30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43</v>
      </c>
      <c r="S1214">
        <v>301</v>
      </c>
      <c r="T1214">
        <v>0</v>
      </c>
      <c r="V1214">
        <v>0</v>
      </c>
      <c r="W1214">
        <v>1134</v>
      </c>
    </row>
    <row r="1215" spans="1:23" x14ac:dyDescent="0.25">
      <c r="H1215">
        <v>400</v>
      </c>
    </row>
    <row r="1216" spans="1:23" x14ac:dyDescent="0.25">
      <c r="A1216">
        <v>605</v>
      </c>
      <c r="B1216">
        <v>254</v>
      </c>
      <c r="C1216" t="s">
        <v>814</v>
      </c>
      <c r="D1216" t="s">
        <v>251</v>
      </c>
      <c r="E1216" t="s">
        <v>15</v>
      </c>
      <c r="F1216" t="s">
        <v>1827</v>
      </c>
      <c r="G1216" t="str">
        <f>"201410005364"</f>
        <v>201410005364</v>
      </c>
      <c r="H1216" t="s">
        <v>459</v>
      </c>
      <c r="I1216">
        <v>0</v>
      </c>
      <c r="J1216">
        <v>30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28</v>
      </c>
      <c r="S1216">
        <v>196</v>
      </c>
      <c r="T1216">
        <v>0</v>
      </c>
      <c r="V1216">
        <v>0</v>
      </c>
      <c r="W1216" t="s">
        <v>1828</v>
      </c>
    </row>
    <row r="1217" spans="1:23" x14ac:dyDescent="0.25">
      <c r="H1217">
        <v>400</v>
      </c>
    </row>
    <row r="1218" spans="1:23" x14ac:dyDescent="0.25">
      <c r="A1218">
        <v>606</v>
      </c>
      <c r="B1218">
        <v>853</v>
      </c>
      <c r="C1218" t="s">
        <v>557</v>
      </c>
      <c r="D1218" t="s">
        <v>187</v>
      </c>
      <c r="E1218" t="s">
        <v>39</v>
      </c>
      <c r="F1218" t="s">
        <v>1829</v>
      </c>
      <c r="G1218" t="str">
        <f>"201410008535"</f>
        <v>201410008535</v>
      </c>
      <c r="H1218">
        <v>935</v>
      </c>
      <c r="I1218">
        <v>0</v>
      </c>
      <c r="J1218">
        <v>30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24</v>
      </c>
      <c r="S1218">
        <v>168</v>
      </c>
      <c r="T1218">
        <v>0</v>
      </c>
      <c r="V1218">
        <v>0</v>
      </c>
      <c r="W1218">
        <v>1133</v>
      </c>
    </row>
    <row r="1219" spans="1:23" x14ac:dyDescent="0.25">
      <c r="H1219">
        <v>400</v>
      </c>
    </row>
    <row r="1220" spans="1:23" x14ac:dyDescent="0.25">
      <c r="A1220">
        <v>607</v>
      </c>
      <c r="B1220">
        <v>496</v>
      </c>
      <c r="C1220" t="s">
        <v>1830</v>
      </c>
      <c r="D1220" t="s">
        <v>918</v>
      </c>
      <c r="E1220" t="s">
        <v>132</v>
      </c>
      <c r="F1220" t="s">
        <v>1831</v>
      </c>
      <c r="G1220" t="str">
        <f>"00212929"</f>
        <v>00212929</v>
      </c>
      <c r="H1220">
        <v>891</v>
      </c>
      <c r="I1220">
        <v>0</v>
      </c>
      <c r="J1220">
        <v>30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30</v>
      </c>
      <c r="S1220">
        <v>210</v>
      </c>
      <c r="T1220">
        <v>0</v>
      </c>
      <c r="V1220">
        <v>0</v>
      </c>
      <c r="W1220">
        <v>1131</v>
      </c>
    </row>
    <row r="1221" spans="1:23" x14ac:dyDescent="0.25">
      <c r="H1221">
        <v>400</v>
      </c>
    </row>
    <row r="1222" spans="1:23" x14ac:dyDescent="0.25">
      <c r="A1222">
        <v>608</v>
      </c>
      <c r="B1222">
        <v>633</v>
      </c>
      <c r="C1222" t="s">
        <v>1832</v>
      </c>
      <c r="D1222" t="s">
        <v>220</v>
      </c>
      <c r="E1222" t="s">
        <v>27</v>
      </c>
      <c r="F1222" t="s">
        <v>1833</v>
      </c>
      <c r="G1222" t="str">
        <f>"00083361"</f>
        <v>00083361</v>
      </c>
      <c r="H1222" t="s">
        <v>868</v>
      </c>
      <c r="I1222">
        <v>0</v>
      </c>
      <c r="J1222">
        <v>70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70</v>
      </c>
      <c r="Q1222">
        <v>0</v>
      </c>
      <c r="R1222">
        <v>26</v>
      </c>
      <c r="S1222">
        <v>182</v>
      </c>
      <c r="T1222">
        <v>0</v>
      </c>
      <c r="V1222">
        <v>0</v>
      </c>
      <c r="W1222" t="s">
        <v>1834</v>
      </c>
    </row>
    <row r="1223" spans="1:23" x14ac:dyDescent="0.25">
      <c r="H1223">
        <v>400</v>
      </c>
    </row>
    <row r="1224" spans="1:23" x14ac:dyDescent="0.25">
      <c r="A1224">
        <v>609</v>
      </c>
      <c r="B1224">
        <v>992</v>
      </c>
      <c r="C1224" t="s">
        <v>1702</v>
      </c>
      <c r="D1224" t="s">
        <v>125</v>
      </c>
      <c r="E1224" t="s">
        <v>15</v>
      </c>
      <c r="F1224" t="s">
        <v>1835</v>
      </c>
      <c r="G1224" t="str">
        <f>"00206027"</f>
        <v>00206027</v>
      </c>
      <c r="H1224">
        <v>869</v>
      </c>
      <c r="I1224">
        <v>0</v>
      </c>
      <c r="J1224">
        <v>30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33</v>
      </c>
      <c r="S1224">
        <v>231</v>
      </c>
      <c r="T1224">
        <v>0</v>
      </c>
      <c r="V1224">
        <v>0</v>
      </c>
      <c r="W1224">
        <v>1130</v>
      </c>
    </row>
    <row r="1225" spans="1:23" x14ac:dyDescent="0.25">
      <c r="H1225">
        <v>400</v>
      </c>
    </row>
    <row r="1226" spans="1:23" x14ac:dyDescent="0.25">
      <c r="A1226">
        <v>610</v>
      </c>
      <c r="B1226">
        <v>632</v>
      </c>
      <c r="C1226" t="s">
        <v>1836</v>
      </c>
      <c r="D1226" t="s">
        <v>125</v>
      </c>
      <c r="E1226" t="s">
        <v>408</v>
      </c>
      <c r="F1226" t="s">
        <v>1837</v>
      </c>
      <c r="G1226" t="str">
        <f>"00213491"</f>
        <v>00213491</v>
      </c>
      <c r="H1226">
        <v>660</v>
      </c>
      <c r="I1226">
        <v>0</v>
      </c>
      <c r="J1226">
        <v>50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60</v>
      </c>
      <c r="S1226">
        <v>420</v>
      </c>
      <c r="T1226">
        <v>0</v>
      </c>
      <c r="V1226">
        <v>0</v>
      </c>
      <c r="W1226">
        <v>1130</v>
      </c>
    </row>
    <row r="1227" spans="1:23" x14ac:dyDescent="0.25">
      <c r="H1227">
        <v>400</v>
      </c>
    </row>
    <row r="1228" spans="1:23" x14ac:dyDescent="0.25">
      <c r="A1228">
        <v>611</v>
      </c>
      <c r="B1228">
        <v>131</v>
      </c>
      <c r="C1228" t="s">
        <v>1838</v>
      </c>
      <c r="D1228" t="s">
        <v>21</v>
      </c>
      <c r="E1228" t="s">
        <v>15</v>
      </c>
      <c r="F1228" t="s">
        <v>1839</v>
      </c>
      <c r="G1228" t="str">
        <f>"00142963"</f>
        <v>00142963</v>
      </c>
      <c r="H1228" t="s">
        <v>1840</v>
      </c>
      <c r="I1228">
        <v>0</v>
      </c>
      <c r="J1228">
        <v>30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35</v>
      </c>
      <c r="S1228">
        <v>245</v>
      </c>
      <c r="T1228">
        <v>0</v>
      </c>
      <c r="V1228">
        <v>1</v>
      </c>
      <c r="W1228" t="s">
        <v>1841</v>
      </c>
    </row>
    <row r="1229" spans="1:23" x14ac:dyDescent="0.25">
      <c r="H1229">
        <v>400</v>
      </c>
    </row>
    <row r="1230" spans="1:23" x14ac:dyDescent="0.25">
      <c r="A1230">
        <v>612</v>
      </c>
      <c r="B1230">
        <v>1152</v>
      </c>
      <c r="C1230" t="s">
        <v>1842</v>
      </c>
      <c r="D1230" t="s">
        <v>1843</v>
      </c>
      <c r="E1230" t="s">
        <v>1844</v>
      </c>
      <c r="F1230" t="s">
        <v>1845</v>
      </c>
      <c r="G1230" t="str">
        <f>"00217913"</f>
        <v>00217913</v>
      </c>
      <c r="H1230" t="s">
        <v>394</v>
      </c>
      <c r="I1230">
        <v>0</v>
      </c>
      <c r="J1230">
        <v>70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19</v>
      </c>
      <c r="S1230">
        <v>133</v>
      </c>
      <c r="T1230">
        <v>0</v>
      </c>
      <c r="V1230">
        <v>0</v>
      </c>
      <c r="W1230" t="s">
        <v>1846</v>
      </c>
    </row>
    <row r="1231" spans="1:23" x14ac:dyDescent="0.25">
      <c r="H1231">
        <v>400</v>
      </c>
    </row>
    <row r="1232" spans="1:23" x14ac:dyDescent="0.25">
      <c r="A1232">
        <v>613</v>
      </c>
      <c r="B1232">
        <v>760</v>
      </c>
      <c r="C1232" t="s">
        <v>1847</v>
      </c>
      <c r="D1232" t="s">
        <v>180</v>
      </c>
      <c r="E1232" t="s">
        <v>163</v>
      </c>
      <c r="F1232" t="s">
        <v>1848</v>
      </c>
      <c r="G1232" t="str">
        <f>"00215667"</f>
        <v>00215667</v>
      </c>
      <c r="H1232" t="s">
        <v>1849</v>
      </c>
      <c r="I1232">
        <v>0</v>
      </c>
      <c r="J1232">
        <v>30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51</v>
      </c>
      <c r="S1232">
        <v>357</v>
      </c>
      <c r="T1232">
        <v>0</v>
      </c>
      <c r="V1232">
        <v>1</v>
      </c>
      <c r="W1232" t="s">
        <v>1846</v>
      </c>
    </row>
    <row r="1233" spans="1:23" x14ac:dyDescent="0.25">
      <c r="H1233">
        <v>400</v>
      </c>
    </row>
    <row r="1234" spans="1:23" x14ac:dyDescent="0.25">
      <c r="A1234">
        <v>614</v>
      </c>
      <c r="B1234">
        <v>588</v>
      </c>
      <c r="C1234" t="s">
        <v>1850</v>
      </c>
      <c r="D1234" t="s">
        <v>1851</v>
      </c>
      <c r="E1234" t="s">
        <v>33</v>
      </c>
      <c r="F1234" t="s">
        <v>1852</v>
      </c>
      <c r="G1234" t="str">
        <f>"00017974"</f>
        <v>00017974</v>
      </c>
      <c r="H1234" t="s">
        <v>394</v>
      </c>
      <c r="I1234">
        <v>0</v>
      </c>
      <c r="J1234">
        <v>70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23</v>
      </c>
      <c r="S1234">
        <v>161</v>
      </c>
      <c r="T1234">
        <v>0</v>
      </c>
      <c r="V1234">
        <v>0</v>
      </c>
      <c r="W1234" t="s">
        <v>1853</v>
      </c>
    </row>
    <row r="1235" spans="1:23" x14ac:dyDescent="0.25">
      <c r="H1235">
        <v>400</v>
      </c>
    </row>
    <row r="1236" spans="1:23" x14ac:dyDescent="0.25">
      <c r="A1236">
        <v>615</v>
      </c>
      <c r="B1236">
        <v>1244</v>
      </c>
      <c r="C1236" t="s">
        <v>1854</v>
      </c>
      <c r="D1236" t="s">
        <v>15</v>
      </c>
      <c r="E1236" t="s">
        <v>49</v>
      </c>
      <c r="F1236" t="s">
        <v>1855</v>
      </c>
      <c r="G1236" t="str">
        <f>"201406000377"</f>
        <v>201406000377</v>
      </c>
      <c r="H1236" t="s">
        <v>1856</v>
      </c>
      <c r="I1236">
        <v>0</v>
      </c>
      <c r="J1236">
        <v>30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46</v>
      </c>
      <c r="S1236">
        <v>322</v>
      </c>
      <c r="T1236">
        <v>0</v>
      </c>
      <c r="V1236">
        <v>0</v>
      </c>
      <c r="W1236" t="s">
        <v>1853</v>
      </c>
    </row>
    <row r="1237" spans="1:23" x14ac:dyDescent="0.25">
      <c r="H1237">
        <v>400</v>
      </c>
    </row>
    <row r="1238" spans="1:23" x14ac:dyDescent="0.25">
      <c r="A1238">
        <v>616</v>
      </c>
      <c r="B1238">
        <v>751</v>
      </c>
      <c r="C1238" t="s">
        <v>1857</v>
      </c>
      <c r="D1238" t="s">
        <v>1338</v>
      </c>
      <c r="E1238" t="s">
        <v>1858</v>
      </c>
      <c r="F1238" t="s">
        <v>1859</v>
      </c>
      <c r="G1238" t="str">
        <f>"00216572"</f>
        <v>00216572</v>
      </c>
      <c r="H1238" t="s">
        <v>235</v>
      </c>
      <c r="I1238">
        <v>0</v>
      </c>
      <c r="J1238">
        <v>70</v>
      </c>
      <c r="K1238">
        <v>30</v>
      </c>
      <c r="L1238">
        <v>0</v>
      </c>
      <c r="M1238">
        <v>0</v>
      </c>
      <c r="N1238">
        <v>30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V1238">
        <v>0</v>
      </c>
      <c r="W1238" t="s">
        <v>1860</v>
      </c>
    </row>
    <row r="1239" spans="1:23" x14ac:dyDescent="0.25">
      <c r="H1239">
        <v>400</v>
      </c>
    </row>
    <row r="1240" spans="1:23" x14ac:dyDescent="0.25">
      <c r="A1240">
        <v>617</v>
      </c>
      <c r="B1240">
        <v>538</v>
      </c>
      <c r="C1240" t="s">
        <v>1861</v>
      </c>
      <c r="D1240" t="s">
        <v>1862</v>
      </c>
      <c r="E1240" t="s">
        <v>209</v>
      </c>
      <c r="F1240" t="s">
        <v>1863</v>
      </c>
      <c r="G1240" t="str">
        <f>"201402001391"</f>
        <v>201402001391</v>
      </c>
      <c r="H1240">
        <v>715</v>
      </c>
      <c r="I1240">
        <v>0</v>
      </c>
      <c r="J1240">
        <v>30</v>
      </c>
      <c r="K1240">
        <v>30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50</v>
      </c>
      <c r="S1240">
        <v>350</v>
      </c>
      <c r="T1240">
        <v>0</v>
      </c>
      <c r="V1240">
        <v>0</v>
      </c>
      <c r="W1240">
        <v>1125</v>
      </c>
    </row>
    <row r="1241" spans="1:23" x14ac:dyDescent="0.25">
      <c r="H1241" t="s">
        <v>76</v>
      </c>
    </row>
    <row r="1242" spans="1:23" x14ac:dyDescent="0.25">
      <c r="A1242">
        <v>618</v>
      </c>
      <c r="B1242">
        <v>1838</v>
      </c>
      <c r="C1242" t="s">
        <v>1864</v>
      </c>
      <c r="D1242" t="s">
        <v>52</v>
      </c>
      <c r="E1242" t="s">
        <v>1495</v>
      </c>
      <c r="F1242" t="s">
        <v>1865</v>
      </c>
      <c r="G1242" t="str">
        <f>"201304003712"</f>
        <v>201304003712</v>
      </c>
      <c r="H1242">
        <v>1012</v>
      </c>
      <c r="I1242">
        <v>0</v>
      </c>
      <c r="J1242">
        <v>70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6</v>
      </c>
      <c r="S1242">
        <v>42</v>
      </c>
      <c r="T1242">
        <v>0</v>
      </c>
      <c r="V1242">
        <v>0</v>
      </c>
      <c r="W1242">
        <v>1124</v>
      </c>
    </row>
    <row r="1243" spans="1:23" x14ac:dyDescent="0.25">
      <c r="H1243">
        <v>400</v>
      </c>
    </row>
    <row r="1244" spans="1:23" x14ac:dyDescent="0.25">
      <c r="A1244">
        <v>619</v>
      </c>
      <c r="B1244">
        <v>1630</v>
      </c>
      <c r="C1244" t="s">
        <v>1866</v>
      </c>
      <c r="D1244" t="s">
        <v>1867</v>
      </c>
      <c r="E1244" t="s">
        <v>1868</v>
      </c>
      <c r="F1244" t="s">
        <v>1869</v>
      </c>
      <c r="G1244" t="str">
        <f>"00215118"</f>
        <v>00215118</v>
      </c>
      <c r="H1244">
        <v>660</v>
      </c>
      <c r="I1244">
        <v>0</v>
      </c>
      <c r="J1244">
        <v>30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62</v>
      </c>
      <c r="S1244">
        <v>434</v>
      </c>
      <c r="T1244">
        <v>0</v>
      </c>
      <c r="V1244">
        <v>0</v>
      </c>
      <c r="W1244">
        <v>1124</v>
      </c>
    </row>
    <row r="1245" spans="1:23" x14ac:dyDescent="0.25">
      <c r="H1245">
        <v>400</v>
      </c>
    </row>
    <row r="1246" spans="1:23" x14ac:dyDescent="0.25">
      <c r="A1246">
        <v>620</v>
      </c>
      <c r="B1246">
        <v>517</v>
      </c>
      <c r="C1246" t="s">
        <v>905</v>
      </c>
      <c r="D1246" t="s">
        <v>209</v>
      </c>
      <c r="E1246" t="s">
        <v>49</v>
      </c>
      <c r="F1246" t="s">
        <v>1870</v>
      </c>
      <c r="G1246" t="str">
        <f>"00008083"</f>
        <v>00008083</v>
      </c>
      <c r="H1246" t="s">
        <v>394</v>
      </c>
      <c r="I1246">
        <v>0</v>
      </c>
      <c r="J1246">
        <v>30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28</v>
      </c>
      <c r="S1246">
        <v>196</v>
      </c>
      <c r="T1246">
        <v>0</v>
      </c>
      <c r="V1246">
        <v>0</v>
      </c>
      <c r="W1246" t="s">
        <v>1871</v>
      </c>
    </row>
    <row r="1247" spans="1:23" x14ac:dyDescent="0.25">
      <c r="H1247">
        <v>400</v>
      </c>
    </row>
    <row r="1248" spans="1:23" x14ac:dyDescent="0.25">
      <c r="A1248">
        <v>621</v>
      </c>
      <c r="B1248">
        <v>631</v>
      </c>
      <c r="C1248" t="s">
        <v>1872</v>
      </c>
      <c r="D1248" t="s">
        <v>1873</v>
      </c>
      <c r="E1248" t="s">
        <v>209</v>
      </c>
      <c r="F1248" t="s">
        <v>1874</v>
      </c>
      <c r="G1248" t="str">
        <f>"00216933"</f>
        <v>00216933</v>
      </c>
      <c r="H1248" t="s">
        <v>249</v>
      </c>
      <c r="I1248">
        <v>0</v>
      </c>
      <c r="J1248">
        <v>70</v>
      </c>
      <c r="K1248">
        <v>0</v>
      </c>
      <c r="L1248">
        <v>50</v>
      </c>
      <c r="M1248">
        <v>0</v>
      </c>
      <c r="N1248">
        <v>50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V1248">
        <v>0</v>
      </c>
      <c r="W1248" t="s">
        <v>1875</v>
      </c>
    </row>
    <row r="1249" spans="1:23" x14ac:dyDescent="0.25">
      <c r="H1249">
        <v>400</v>
      </c>
    </row>
    <row r="1250" spans="1:23" x14ac:dyDescent="0.25">
      <c r="A1250">
        <v>622</v>
      </c>
      <c r="B1250">
        <v>979</v>
      </c>
      <c r="C1250" t="s">
        <v>1876</v>
      </c>
      <c r="D1250" t="s">
        <v>1877</v>
      </c>
      <c r="E1250" t="s">
        <v>209</v>
      </c>
      <c r="F1250" t="s">
        <v>1878</v>
      </c>
      <c r="G1250" t="str">
        <f>"00216672"</f>
        <v>00216672</v>
      </c>
      <c r="H1250" t="s">
        <v>352</v>
      </c>
      <c r="I1250">
        <v>0</v>
      </c>
      <c r="J1250">
        <v>30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42</v>
      </c>
      <c r="S1250">
        <v>294</v>
      </c>
      <c r="T1250">
        <v>0</v>
      </c>
      <c r="V1250">
        <v>0</v>
      </c>
      <c r="W1250" t="s">
        <v>1875</v>
      </c>
    </row>
    <row r="1251" spans="1:23" x14ac:dyDescent="0.25">
      <c r="H1251" t="s">
        <v>76</v>
      </c>
    </row>
    <row r="1252" spans="1:23" x14ac:dyDescent="0.25">
      <c r="A1252">
        <v>623</v>
      </c>
      <c r="B1252">
        <v>1745</v>
      </c>
      <c r="C1252" t="s">
        <v>1879</v>
      </c>
      <c r="D1252" t="s">
        <v>20</v>
      </c>
      <c r="E1252" t="s">
        <v>408</v>
      </c>
      <c r="F1252" t="s">
        <v>1880</v>
      </c>
      <c r="G1252" t="str">
        <f>"00216475"</f>
        <v>00216475</v>
      </c>
      <c r="H1252" t="s">
        <v>603</v>
      </c>
      <c r="I1252">
        <v>0</v>
      </c>
      <c r="J1252">
        <v>70</v>
      </c>
      <c r="K1252">
        <v>30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24</v>
      </c>
      <c r="S1252">
        <v>168</v>
      </c>
      <c r="T1252">
        <v>0</v>
      </c>
      <c r="V1252">
        <v>0</v>
      </c>
      <c r="W1252" t="s">
        <v>1881</v>
      </c>
    </row>
    <row r="1253" spans="1:23" x14ac:dyDescent="0.25">
      <c r="H1253">
        <v>400</v>
      </c>
    </row>
    <row r="1254" spans="1:23" x14ac:dyDescent="0.25">
      <c r="A1254">
        <v>624</v>
      </c>
      <c r="B1254">
        <v>1706</v>
      </c>
      <c r="C1254" t="s">
        <v>1882</v>
      </c>
      <c r="D1254" t="s">
        <v>942</v>
      </c>
      <c r="E1254" t="s">
        <v>209</v>
      </c>
      <c r="F1254" t="s">
        <v>1883</v>
      </c>
      <c r="G1254" t="str">
        <f>"201402009085"</f>
        <v>201402009085</v>
      </c>
      <c r="H1254" t="s">
        <v>410</v>
      </c>
      <c r="I1254">
        <v>0</v>
      </c>
      <c r="J1254">
        <v>30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15</v>
      </c>
      <c r="S1254">
        <v>105</v>
      </c>
      <c r="T1254">
        <v>0</v>
      </c>
      <c r="V1254">
        <v>0</v>
      </c>
      <c r="W1254" t="s">
        <v>1884</v>
      </c>
    </row>
    <row r="1255" spans="1:23" x14ac:dyDescent="0.25">
      <c r="H1255" t="s">
        <v>76</v>
      </c>
    </row>
    <row r="1256" spans="1:23" x14ac:dyDescent="0.25">
      <c r="A1256">
        <v>625</v>
      </c>
      <c r="B1256">
        <v>1399</v>
      </c>
      <c r="C1256" t="s">
        <v>1885</v>
      </c>
      <c r="D1256" t="s">
        <v>97</v>
      </c>
      <c r="E1256" t="s">
        <v>229</v>
      </c>
      <c r="F1256" t="s">
        <v>1886</v>
      </c>
      <c r="G1256" t="str">
        <f>"00114312"</f>
        <v>00114312</v>
      </c>
      <c r="H1256" t="s">
        <v>694</v>
      </c>
      <c r="I1256">
        <v>0</v>
      </c>
      <c r="J1256">
        <v>30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37</v>
      </c>
      <c r="S1256">
        <v>259</v>
      </c>
      <c r="T1256">
        <v>0</v>
      </c>
      <c r="V1256">
        <v>0</v>
      </c>
      <c r="W1256" t="s">
        <v>1884</v>
      </c>
    </row>
    <row r="1257" spans="1:23" x14ac:dyDescent="0.25">
      <c r="H1257">
        <v>400</v>
      </c>
    </row>
    <row r="1258" spans="1:23" x14ac:dyDescent="0.25">
      <c r="A1258">
        <v>626</v>
      </c>
      <c r="B1258">
        <v>1765</v>
      </c>
      <c r="C1258" t="s">
        <v>1887</v>
      </c>
      <c r="D1258" t="s">
        <v>180</v>
      </c>
      <c r="E1258" t="s">
        <v>1888</v>
      </c>
      <c r="F1258" t="s">
        <v>1889</v>
      </c>
      <c r="G1258" t="str">
        <f>"00012290"</f>
        <v>00012290</v>
      </c>
      <c r="H1258" t="s">
        <v>861</v>
      </c>
      <c r="I1258">
        <v>0</v>
      </c>
      <c r="J1258">
        <v>30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48</v>
      </c>
      <c r="S1258">
        <v>336</v>
      </c>
      <c r="T1258">
        <v>0</v>
      </c>
      <c r="V1258">
        <v>1</v>
      </c>
      <c r="W1258" t="s">
        <v>1884</v>
      </c>
    </row>
    <row r="1259" spans="1:23" x14ac:dyDescent="0.25">
      <c r="H1259" t="s">
        <v>76</v>
      </c>
    </row>
    <row r="1260" spans="1:23" x14ac:dyDescent="0.25">
      <c r="A1260">
        <v>627</v>
      </c>
      <c r="B1260">
        <v>315</v>
      </c>
      <c r="C1260" t="s">
        <v>1890</v>
      </c>
      <c r="D1260" t="s">
        <v>27</v>
      </c>
      <c r="E1260" t="s">
        <v>53</v>
      </c>
      <c r="F1260" t="s">
        <v>1891</v>
      </c>
      <c r="G1260" t="str">
        <f>"00215304"</f>
        <v>00215304</v>
      </c>
      <c r="H1260">
        <v>858</v>
      </c>
      <c r="I1260">
        <v>0</v>
      </c>
      <c r="J1260">
        <v>30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33</v>
      </c>
      <c r="S1260">
        <v>231</v>
      </c>
      <c r="T1260">
        <v>0</v>
      </c>
      <c r="V1260">
        <v>0</v>
      </c>
      <c r="W1260">
        <v>1119</v>
      </c>
    </row>
    <row r="1261" spans="1:23" x14ac:dyDescent="0.25">
      <c r="H1261" t="s">
        <v>76</v>
      </c>
    </row>
    <row r="1262" spans="1:23" x14ac:dyDescent="0.25">
      <c r="A1262">
        <v>628</v>
      </c>
      <c r="B1262">
        <v>599</v>
      </c>
      <c r="C1262" t="s">
        <v>1892</v>
      </c>
      <c r="D1262" t="s">
        <v>177</v>
      </c>
      <c r="E1262" t="s">
        <v>71</v>
      </c>
      <c r="F1262" t="s">
        <v>1893</v>
      </c>
      <c r="G1262" t="str">
        <f>"201506004285"</f>
        <v>201506004285</v>
      </c>
      <c r="H1262" t="s">
        <v>120</v>
      </c>
      <c r="I1262">
        <v>0</v>
      </c>
      <c r="J1262">
        <v>70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V1262">
        <v>0</v>
      </c>
      <c r="W1262" t="s">
        <v>1894</v>
      </c>
    </row>
    <row r="1263" spans="1:23" x14ac:dyDescent="0.25">
      <c r="H1263">
        <v>400</v>
      </c>
    </row>
    <row r="1264" spans="1:23" x14ac:dyDescent="0.25">
      <c r="A1264">
        <v>629</v>
      </c>
      <c r="B1264">
        <v>1516</v>
      </c>
      <c r="C1264" t="s">
        <v>1895</v>
      </c>
      <c r="D1264" t="s">
        <v>192</v>
      </c>
      <c r="E1264" t="s">
        <v>15</v>
      </c>
      <c r="F1264" t="s">
        <v>1896</v>
      </c>
      <c r="G1264" t="str">
        <f>"201511043458"</f>
        <v>201511043458</v>
      </c>
      <c r="H1264" t="s">
        <v>218</v>
      </c>
      <c r="I1264">
        <v>150</v>
      </c>
      <c r="J1264">
        <v>70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8</v>
      </c>
      <c r="S1264">
        <v>56</v>
      </c>
      <c r="T1264">
        <v>0</v>
      </c>
      <c r="V1264">
        <v>1</v>
      </c>
      <c r="W1264" t="s">
        <v>1894</v>
      </c>
    </row>
    <row r="1265" spans="1:23" x14ac:dyDescent="0.25">
      <c r="H1265">
        <v>400</v>
      </c>
    </row>
    <row r="1266" spans="1:23" x14ac:dyDescent="0.25">
      <c r="A1266">
        <v>630</v>
      </c>
      <c r="B1266">
        <v>1790</v>
      </c>
      <c r="C1266" t="s">
        <v>1897</v>
      </c>
      <c r="D1266" t="s">
        <v>1898</v>
      </c>
      <c r="E1266" t="s">
        <v>408</v>
      </c>
      <c r="F1266" t="s">
        <v>1899</v>
      </c>
      <c r="G1266" t="str">
        <f>"200811000116"</f>
        <v>200811000116</v>
      </c>
      <c r="H1266" t="s">
        <v>29</v>
      </c>
      <c r="I1266">
        <v>0</v>
      </c>
      <c r="J1266">
        <v>30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13</v>
      </c>
      <c r="S1266">
        <v>91</v>
      </c>
      <c r="T1266">
        <v>0</v>
      </c>
      <c r="V1266">
        <v>2</v>
      </c>
      <c r="W1266" t="s">
        <v>1900</v>
      </c>
    </row>
    <row r="1267" spans="1:23" x14ac:dyDescent="0.25">
      <c r="H1267">
        <v>400</v>
      </c>
    </row>
    <row r="1268" spans="1:23" x14ac:dyDescent="0.25">
      <c r="A1268">
        <v>631</v>
      </c>
      <c r="B1268">
        <v>1339</v>
      </c>
      <c r="C1268" t="s">
        <v>1901</v>
      </c>
      <c r="D1268" t="s">
        <v>180</v>
      </c>
      <c r="E1268" t="s">
        <v>106</v>
      </c>
      <c r="F1268" t="s">
        <v>1902</v>
      </c>
      <c r="G1268" t="str">
        <f>"00111056"</f>
        <v>00111056</v>
      </c>
      <c r="H1268">
        <v>935</v>
      </c>
      <c r="I1268">
        <v>150</v>
      </c>
      <c r="J1268">
        <v>30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V1268">
        <v>2</v>
      </c>
      <c r="W1268">
        <v>1115</v>
      </c>
    </row>
    <row r="1269" spans="1:23" x14ac:dyDescent="0.25">
      <c r="H1269">
        <v>400</v>
      </c>
    </row>
    <row r="1270" spans="1:23" x14ac:dyDescent="0.25">
      <c r="A1270">
        <v>632</v>
      </c>
      <c r="B1270">
        <v>1144</v>
      </c>
      <c r="C1270" t="s">
        <v>1903</v>
      </c>
      <c r="D1270" t="s">
        <v>1904</v>
      </c>
      <c r="E1270" t="s">
        <v>15</v>
      </c>
      <c r="F1270" t="s">
        <v>1905</v>
      </c>
      <c r="G1270" t="str">
        <f>"00214955"</f>
        <v>00214955</v>
      </c>
      <c r="H1270" t="s">
        <v>694</v>
      </c>
      <c r="I1270">
        <v>150</v>
      </c>
      <c r="J1270">
        <v>50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12</v>
      </c>
      <c r="S1270">
        <v>84</v>
      </c>
      <c r="T1270">
        <v>0</v>
      </c>
      <c r="V1270">
        <v>0</v>
      </c>
      <c r="W1270" t="s">
        <v>1906</v>
      </c>
    </row>
    <row r="1271" spans="1:23" x14ac:dyDescent="0.25">
      <c r="H1271">
        <v>400</v>
      </c>
    </row>
    <row r="1272" spans="1:23" x14ac:dyDescent="0.25">
      <c r="A1272">
        <v>633</v>
      </c>
      <c r="B1272">
        <v>682</v>
      </c>
      <c r="C1272" t="s">
        <v>1847</v>
      </c>
      <c r="D1272" t="s">
        <v>313</v>
      </c>
      <c r="E1272" t="s">
        <v>1495</v>
      </c>
      <c r="F1272" t="s">
        <v>1907</v>
      </c>
      <c r="G1272" t="str">
        <f>"201405002252"</f>
        <v>201405002252</v>
      </c>
      <c r="H1272">
        <v>924</v>
      </c>
      <c r="I1272">
        <v>0</v>
      </c>
      <c r="J1272">
        <v>70</v>
      </c>
      <c r="K1272">
        <v>70</v>
      </c>
      <c r="L1272">
        <v>0</v>
      </c>
      <c r="M1272">
        <v>50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V1272">
        <v>0</v>
      </c>
      <c r="W1272">
        <v>1114</v>
      </c>
    </row>
    <row r="1273" spans="1:23" x14ac:dyDescent="0.25">
      <c r="H1273">
        <v>400</v>
      </c>
    </row>
    <row r="1274" spans="1:23" x14ac:dyDescent="0.25">
      <c r="A1274">
        <v>634</v>
      </c>
      <c r="B1274">
        <v>1123</v>
      </c>
      <c r="C1274" t="s">
        <v>251</v>
      </c>
      <c r="D1274" t="s">
        <v>1861</v>
      </c>
      <c r="E1274" t="s">
        <v>49</v>
      </c>
      <c r="F1274" t="s">
        <v>1908</v>
      </c>
      <c r="G1274" t="str">
        <f>"00216341"</f>
        <v>00216341</v>
      </c>
      <c r="H1274" t="s">
        <v>35</v>
      </c>
      <c r="I1274">
        <v>0</v>
      </c>
      <c r="J1274">
        <v>30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6</v>
      </c>
      <c r="S1274">
        <v>42</v>
      </c>
      <c r="T1274">
        <v>0</v>
      </c>
      <c r="V1274">
        <v>0</v>
      </c>
      <c r="W1274" t="s">
        <v>1909</v>
      </c>
    </row>
    <row r="1275" spans="1:23" x14ac:dyDescent="0.25">
      <c r="H1275">
        <v>400</v>
      </c>
    </row>
    <row r="1276" spans="1:23" x14ac:dyDescent="0.25">
      <c r="A1276">
        <v>635</v>
      </c>
      <c r="B1276">
        <v>668</v>
      </c>
      <c r="C1276" t="s">
        <v>1910</v>
      </c>
      <c r="D1276" t="s">
        <v>177</v>
      </c>
      <c r="E1276" t="s">
        <v>163</v>
      </c>
      <c r="F1276" t="s">
        <v>1911</v>
      </c>
      <c r="G1276" t="str">
        <f>"00105596"</f>
        <v>00105596</v>
      </c>
      <c r="H1276" t="s">
        <v>41</v>
      </c>
      <c r="I1276">
        <v>0</v>
      </c>
      <c r="J1276">
        <v>70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5</v>
      </c>
      <c r="S1276">
        <v>35</v>
      </c>
      <c r="T1276">
        <v>0</v>
      </c>
      <c r="V1276">
        <v>2</v>
      </c>
      <c r="W1276" t="s">
        <v>1909</v>
      </c>
    </row>
    <row r="1277" spans="1:23" x14ac:dyDescent="0.25">
      <c r="H1277">
        <v>400</v>
      </c>
    </row>
    <row r="1278" spans="1:23" x14ac:dyDescent="0.25">
      <c r="A1278">
        <v>636</v>
      </c>
      <c r="B1278">
        <v>382</v>
      </c>
      <c r="C1278" t="s">
        <v>1912</v>
      </c>
      <c r="D1278" t="s">
        <v>220</v>
      </c>
      <c r="E1278" t="s">
        <v>39</v>
      </c>
      <c r="F1278" t="s">
        <v>1913</v>
      </c>
      <c r="G1278" t="str">
        <f>"00214623"</f>
        <v>00214623</v>
      </c>
      <c r="H1278">
        <v>935</v>
      </c>
      <c r="I1278">
        <v>0</v>
      </c>
      <c r="J1278">
        <v>50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18</v>
      </c>
      <c r="S1278">
        <v>126</v>
      </c>
      <c r="T1278">
        <v>0</v>
      </c>
      <c r="V1278">
        <v>0</v>
      </c>
      <c r="W1278">
        <v>1111</v>
      </c>
    </row>
    <row r="1279" spans="1:23" x14ac:dyDescent="0.25">
      <c r="H1279">
        <v>400</v>
      </c>
    </row>
    <row r="1280" spans="1:23" x14ac:dyDescent="0.25">
      <c r="A1280">
        <v>637</v>
      </c>
      <c r="B1280">
        <v>328</v>
      </c>
      <c r="C1280" t="s">
        <v>1914</v>
      </c>
      <c r="D1280" t="s">
        <v>39</v>
      </c>
      <c r="E1280" t="s">
        <v>1915</v>
      </c>
      <c r="F1280" t="s">
        <v>1916</v>
      </c>
      <c r="G1280" t="str">
        <f>"00198761"</f>
        <v>00198761</v>
      </c>
      <c r="H1280" t="s">
        <v>478</v>
      </c>
      <c r="I1280">
        <v>0</v>
      </c>
      <c r="J1280">
        <v>30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45</v>
      </c>
      <c r="S1280">
        <v>315</v>
      </c>
      <c r="T1280">
        <v>0</v>
      </c>
      <c r="V1280">
        <v>0</v>
      </c>
      <c r="W1280" t="s">
        <v>1917</v>
      </c>
    </row>
    <row r="1281" spans="1:23" x14ac:dyDescent="0.25">
      <c r="H1281">
        <v>400</v>
      </c>
    </row>
    <row r="1282" spans="1:23" x14ac:dyDescent="0.25">
      <c r="A1282">
        <v>638</v>
      </c>
      <c r="B1282">
        <v>544</v>
      </c>
      <c r="C1282" t="s">
        <v>1918</v>
      </c>
      <c r="D1282" t="s">
        <v>1919</v>
      </c>
      <c r="E1282" t="s">
        <v>50</v>
      </c>
      <c r="F1282" t="s">
        <v>1920</v>
      </c>
      <c r="G1282" t="str">
        <f>"00214851"</f>
        <v>00214851</v>
      </c>
      <c r="H1282">
        <v>825</v>
      </c>
      <c r="I1282">
        <v>150</v>
      </c>
      <c r="J1282">
        <v>50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12</v>
      </c>
      <c r="S1282">
        <v>84</v>
      </c>
      <c r="T1282">
        <v>0</v>
      </c>
      <c r="V1282">
        <v>0</v>
      </c>
      <c r="W1282">
        <v>1109</v>
      </c>
    </row>
    <row r="1283" spans="1:23" x14ac:dyDescent="0.25">
      <c r="H1283" t="s">
        <v>76</v>
      </c>
    </row>
    <row r="1284" spans="1:23" x14ac:dyDescent="0.25">
      <c r="A1284">
        <v>639</v>
      </c>
      <c r="B1284">
        <v>1247</v>
      </c>
      <c r="C1284" t="s">
        <v>1921</v>
      </c>
      <c r="D1284" t="s">
        <v>1922</v>
      </c>
      <c r="E1284" t="s">
        <v>150</v>
      </c>
      <c r="F1284" t="s">
        <v>1923</v>
      </c>
      <c r="G1284" t="str">
        <f>"00214736"</f>
        <v>00214736</v>
      </c>
      <c r="H1284">
        <v>660</v>
      </c>
      <c r="I1284">
        <v>0</v>
      </c>
      <c r="J1284">
        <v>50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57</v>
      </c>
      <c r="S1284">
        <v>399</v>
      </c>
      <c r="T1284">
        <v>0</v>
      </c>
      <c r="V1284">
        <v>0</v>
      </c>
      <c r="W1284">
        <v>1109</v>
      </c>
    </row>
    <row r="1285" spans="1:23" x14ac:dyDescent="0.25">
      <c r="H1285">
        <v>400</v>
      </c>
    </row>
    <row r="1286" spans="1:23" x14ac:dyDescent="0.25">
      <c r="A1286">
        <v>640</v>
      </c>
      <c r="B1286">
        <v>925</v>
      </c>
      <c r="C1286" t="s">
        <v>1924</v>
      </c>
      <c r="D1286" t="s">
        <v>1925</v>
      </c>
      <c r="E1286" t="s">
        <v>27</v>
      </c>
      <c r="F1286" t="s">
        <v>1926</v>
      </c>
      <c r="G1286" t="str">
        <f>"00213157"</f>
        <v>00213157</v>
      </c>
      <c r="H1286" t="s">
        <v>1927</v>
      </c>
      <c r="I1286">
        <v>0</v>
      </c>
      <c r="J1286">
        <v>30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20</v>
      </c>
      <c r="S1286">
        <v>140</v>
      </c>
      <c r="T1286">
        <v>0</v>
      </c>
      <c r="V1286">
        <v>0</v>
      </c>
      <c r="W1286" t="s">
        <v>1928</v>
      </c>
    </row>
    <row r="1287" spans="1:23" x14ac:dyDescent="0.25">
      <c r="H1287">
        <v>400</v>
      </c>
    </row>
    <row r="1288" spans="1:23" x14ac:dyDescent="0.25">
      <c r="A1288">
        <v>641</v>
      </c>
      <c r="B1288">
        <v>279</v>
      </c>
      <c r="C1288" t="s">
        <v>1929</v>
      </c>
      <c r="D1288" t="s">
        <v>630</v>
      </c>
      <c r="E1288" t="s">
        <v>209</v>
      </c>
      <c r="F1288" t="s">
        <v>1930</v>
      </c>
      <c r="G1288" t="str">
        <f>"00216535"</f>
        <v>00216535</v>
      </c>
      <c r="H1288">
        <v>869</v>
      </c>
      <c r="I1288">
        <v>0</v>
      </c>
      <c r="J1288">
        <v>70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24</v>
      </c>
      <c r="S1288">
        <v>168</v>
      </c>
      <c r="T1288">
        <v>0</v>
      </c>
      <c r="V1288">
        <v>0</v>
      </c>
      <c r="W1288">
        <v>1107</v>
      </c>
    </row>
    <row r="1289" spans="1:23" x14ac:dyDescent="0.25">
      <c r="H1289">
        <v>400</v>
      </c>
    </row>
    <row r="1290" spans="1:23" x14ac:dyDescent="0.25">
      <c r="A1290">
        <v>642</v>
      </c>
      <c r="B1290">
        <v>1894</v>
      </c>
      <c r="C1290" t="s">
        <v>1931</v>
      </c>
      <c r="D1290" t="s">
        <v>523</v>
      </c>
      <c r="E1290" t="s">
        <v>1096</v>
      </c>
      <c r="F1290" t="s">
        <v>1932</v>
      </c>
      <c r="G1290" t="str">
        <f>"00213351"</f>
        <v>00213351</v>
      </c>
      <c r="H1290">
        <v>869</v>
      </c>
      <c r="I1290">
        <v>0</v>
      </c>
      <c r="J1290">
        <v>70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24</v>
      </c>
      <c r="S1290">
        <v>168</v>
      </c>
      <c r="T1290">
        <v>0</v>
      </c>
      <c r="V1290">
        <v>0</v>
      </c>
      <c r="W1290">
        <v>1107</v>
      </c>
    </row>
    <row r="1291" spans="1:23" x14ac:dyDescent="0.25">
      <c r="H1291">
        <v>400</v>
      </c>
    </row>
    <row r="1292" spans="1:23" x14ac:dyDescent="0.25">
      <c r="A1292">
        <v>643</v>
      </c>
      <c r="B1292">
        <v>1301</v>
      </c>
      <c r="C1292" t="s">
        <v>1933</v>
      </c>
      <c r="D1292" t="s">
        <v>192</v>
      </c>
      <c r="E1292" t="s">
        <v>241</v>
      </c>
      <c r="F1292" t="s">
        <v>1934</v>
      </c>
      <c r="G1292" t="str">
        <f>"00212662"</f>
        <v>00212662</v>
      </c>
      <c r="H1292">
        <v>825</v>
      </c>
      <c r="I1292">
        <v>0</v>
      </c>
      <c r="J1292">
        <v>50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33</v>
      </c>
      <c r="S1292">
        <v>231</v>
      </c>
      <c r="T1292">
        <v>0</v>
      </c>
      <c r="V1292">
        <v>0</v>
      </c>
      <c r="W1292">
        <v>1106</v>
      </c>
    </row>
    <row r="1293" spans="1:23" x14ac:dyDescent="0.25">
      <c r="H1293">
        <v>400</v>
      </c>
    </row>
    <row r="1294" spans="1:23" x14ac:dyDescent="0.25">
      <c r="A1294">
        <v>644</v>
      </c>
      <c r="B1294">
        <v>644</v>
      </c>
      <c r="C1294" t="s">
        <v>1935</v>
      </c>
      <c r="D1294" t="s">
        <v>1936</v>
      </c>
      <c r="E1294" t="s">
        <v>1937</v>
      </c>
      <c r="F1294" t="s">
        <v>1938</v>
      </c>
      <c r="G1294" t="str">
        <f>"00145427"</f>
        <v>00145427</v>
      </c>
      <c r="H1294" t="s">
        <v>1939</v>
      </c>
      <c r="I1294">
        <v>0</v>
      </c>
      <c r="J1294">
        <v>70</v>
      </c>
      <c r="K1294">
        <v>70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V1294">
        <v>0</v>
      </c>
      <c r="W1294" t="s">
        <v>1940</v>
      </c>
    </row>
    <row r="1295" spans="1:23" x14ac:dyDescent="0.25">
      <c r="H1295" t="s">
        <v>76</v>
      </c>
    </row>
    <row r="1296" spans="1:23" x14ac:dyDescent="0.25">
      <c r="A1296">
        <v>645</v>
      </c>
      <c r="B1296">
        <v>1231</v>
      </c>
      <c r="C1296" t="s">
        <v>1941</v>
      </c>
      <c r="D1296" t="s">
        <v>625</v>
      </c>
      <c r="E1296" t="s">
        <v>39</v>
      </c>
      <c r="F1296" t="s">
        <v>1942</v>
      </c>
      <c r="G1296" t="str">
        <f>"00196430"</f>
        <v>00196430</v>
      </c>
      <c r="H1296" t="s">
        <v>1943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80</v>
      </c>
      <c r="S1296">
        <v>560</v>
      </c>
      <c r="T1296">
        <v>0</v>
      </c>
      <c r="V1296">
        <v>0</v>
      </c>
      <c r="W1296" t="s">
        <v>1944</v>
      </c>
    </row>
    <row r="1297" spans="1:23" x14ac:dyDescent="0.25">
      <c r="H1297">
        <v>400</v>
      </c>
    </row>
    <row r="1298" spans="1:23" x14ac:dyDescent="0.25">
      <c r="A1298">
        <v>646</v>
      </c>
      <c r="B1298">
        <v>734</v>
      </c>
      <c r="C1298" t="s">
        <v>1945</v>
      </c>
      <c r="D1298" t="s">
        <v>39</v>
      </c>
      <c r="E1298" t="s">
        <v>59</v>
      </c>
      <c r="F1298" t="s">
        <v>1946</v>
      </c>
      <c r="G1298" t="str">
        <f>"200908000139"</f>
        <v>200908000139</v>
      </c>
      <c r="H1298" t="s">
        <v>1725</v>
      </c>
      <c r="I1298">
        <v>0</v>
      </c>
      <c r="J1298">
        <v>30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63</v>
      </c>
      <c r="S1298">
        <v>441</v>
      </c>
      <c r="T1298">
        <v>0</v>
      </c>
      <c r="V1298">
        <v>0</v>
      </c>
      <c r="W1298" t="s">
        <v>1947</v>
      </c>
    </row>
    <row r="1299" spans="1:23" x14ac:dyDescent="0.25">
      <c r="H1299" t="s">
        <v>76</v>
      </c>
    </row>
    <row r="1300" spans="1:23" x14ac:dyDescent="0.25">
      <c r="A1300">
        <v>647</v>
      </c>
      <c r="B1300">
        <v>1584</v>
      </c>
      <c r="C1300" t="s">
        <v>1948</v>
      </c>
      <c r="D1300" t="s">
        <v>87</v>
      </c>
      <c r="E1300" t="s">
        <v>92</v>
      </c>
      <c r="F1300" t="s">
        <v>1949</v>
      </c>
      <c r="G1300" t="str">
        <f>"00212348"</f>
        <v>00212348</v>
      </c>
      <c r="H1300" t="s">
        <v>861</v>
      </c>
      <c r="I1300">
        <v>150</v>
      </c>
      <c r="J1300">
        <v>50</v>
      </c>
      <c r="K1300">
        <v>0</v>
      </c>
      <c r="L1300">
        <v>30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17</v>
      </c>
      <c r="S1300">
        <v>119</v>
      </c>
      <c r="T1300">
        <v>0</v>
      </c>
      <c r="V1300">
        <v>2</v>
      </c>
      <c r="W1300" t="s">
        <v>1950</v>
      </c>
    </row>
    <row r="1301" spans="1:23" x14ac:dyDescent="0.25">
      <c r="H1301">
        <v>400</v>
      </c>
    </row>
    <row r="1302" spans="1:23" x14ac:dyDescent="0.25">
      <c r="A1302">
        <v>648</v>
      </c>
      <c r="B1302">
        <v>554</v>
      </c>
      <c r="C1302" t="s">
        <v>1951</v>
      </c>
      <c r="D1302" t="s">
        <v>59</v>
      </c>
      <c r="E1302" t="s">
        <v>200</v>
      </c>
      <c r="F1302" t="s">
        <v>1952</v>
      </c>
      <c r="G1302" t="str">
        <f>"201406018456"</f>
        <v>201406018456</v>
      </c>
      <c r="H1302" t="s">
        <v>1943</v>
      </c>
      <c r="I1302">
        <v>150</v>
      </c>
      <c r="J1302">
        <v>70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48</v>
      </c>
      <c r="S1302">
        <v>336</v>
      </c>
      <c r="T1302">
        <v>0</v>
      </c>
      <c r="V1302">
        <v>0</v>
      </c>
      <c r="W1302" t="s">
        <v>1953</v>
      </c>
    </row>
    <row r="1303" spans="1:23" x14ac:dyDescent="0.25">
      <c r="H1303">
        <v>400</v>
      </c>
    </row>
    <row r="1304" spans="1:23" x14ac:dyDescent="0.25">
      <c r="A1304">
        <v>649</v>
      </c>
      <c r="B1304">
        <v>1132</v>
      </c>
      <c r="C1304" t="s">
        <v>166</v>
      </c>
      <c r="D1304" t="s">
        <v>1954</v>
      </c>
      <c r="E1304" t="s">
        <v>59</v>
      </c>
      <c r="F1304" t="s">
        <v>1955</v>
      </c>
      <c r="G1304" t="str">
        <f>"00212841"</f>
        <v>00212841</v>
      </c>
      <c r="H1304">
        <v>1100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V1304">
        <v>0</v>
      </c>
      <c r="W1304">
        <v>1100</v>
      </c>
    </row>
    <row r="1305" spans="1:23" x14ac:dyDescent="0.25">
      <c r="H1305">
        <v>400</v>
      </c>
    </row>
    <row r="1306" spans="1:23" x14ac:dyDescent="0.25">
      <c r="A1306">
        <v>650</v>
      </c>
      <c r="B1306">
        <v>1911</v>
      </c>
      <c r="C1306" t="s">
        <v>1956</v>
      </c>
      <c r="D1306" t="s">
        <v>157</v>
      </c>
      <c r="E1306" t="s">
        <v>1957</v>
      </c>
      <c r="F1306" t="s">
        <v>1958</v>
      </c>
      <c r="G1306" t="str">
        <f>"201412003825"</f>
        <v>201412003825</v>
      </c>
      <c r="H1306" t="s">
        <v>68</v>
      </c>
      <c r="I1306">
        <v>0</v>
      </c>
      <c r="J1306">
        <v>70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V1306">
        <v>0</v>
      </c>
      <c r="W1306" t="s">
        <v>1959</v>
      </c>
    </row>
    <row r="1307" spans="1:23" x14ac:dyDescent="0.25">
      <c r="H1307">
        <v>400</v>
      </c>
    </row>
    <row r="1308" spans="1:23" x14ac:dyDescent="0.25">
      <c r="A1308">
        <v>651</v>
      </c>
      <c r="B1308">
        <v>755</v>
      </c>
      <c r="C1308" t="s">
        <v>1960</v>
      </c>
      <c r="D1308" t="s">
        <v>180</v>
      </c>
      <c r="E1308" t="s">
        <v>158</v>
      </c>
      <c r="F1308" t="s">
        <v>1961</v>
      </c>
      <c r="G1308" t="str">
        <f>"00216824"</f>
        <v>00216824</v>
      </c>
      <c r="H1308" t="s">
        <v>114</v>
      </c>
      <c r="I1308">
        <v>150</v>
      </c>
      <c r="J1308">
        <v>30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V1308">
        <v>0</v>
      </c>
      <c r="W1308" t="s">
        <v>1959</v>
      </c>
    </row>
    <row r="1309" spans="1:23" x14ac:dyDescent="0.25">
      <c r="H1309">
        <v>400</v>
      </c>
    </row>
    <row r="1310" spans="1:23" x14ac:dyDescent="0.25">
      <c r="A1310">
        <v>652</v>
      </c>
      <c r="B1310">
        <v>18</v>
      </c>
      <c r="C1310" t="s">
        <v>1962</v>
      </c>
      <c r="D1310" t="s">
        <v>111</v>
      </c>
      <c r="E1310" t="s">
        <v>200</v>
      </c>
      <c r="F1310" t="s">
        <v>1963</v>
      </c>
      <c r="G1310" t="str">
        <f>"201401001331"</f>
        <v>201401001331</v>
      </c>
      <c r="H1310">
        <v>605</v>
      </c>
      <c r="I1310">
        <v>0</v>
      </c>
      <c r="J1310">
        <v>30</v>
      </c>
      <c r="K1310">
        <v>0</v>
      </c>
      <c r="L1310">
        <v>0</v>
      </c>
      <c r="M1310">
        <v>0</v>
      </c>
      <c r="N1310">
        <v>0</v>
      </c>
      <c r="O1310">
        <v>50</v>
      </c>
      <c r="P1310">
        <v>0</v>
      </c>
      <c r="Q1310">
        <v>0</v>
      </c>
      <c r="R1310">
        <v>59</v>
      </c>
      <c r="S1310">
        <v>413</v>
      </c>
      <c r="T1310">
        <v>0</v>
      </c>
      <c r="V1310">
        <v>0</v>
      </c>
      <c r="W1310">
        <v>1098</v>
      </c>
    </row>
    <row r="1311" spans="1:23" x14ac:dyDescent="0.25">
      <c r="H1311">
        <v>400</v>
      </c>
    </row>
    <row r="1312" spans="1:23" x14ac:dyDescent="0.25">
      <c r="A1312">
        <v>653</v>
      </c>
      <c r="B1312">
        <v>130</v>
      </c>
      <c r="C1312" t="s">
        <v>1964</v>
      </c>
      <c r="D1312" t="s">
        <v>1965</v>
      </c>
      <c r="E1312" t="s">
        <v>71</v>
      </c>
      <c r="F1312" t="s">
        <v>1966</v>
      </c>
      <c r="G1312" t="str">
        <f>"00214986"</f>
        <v>00214986</v>
      </c>
      <c r="H1312">
        <v>1067</v>
      </c>
      <c r="I1312">
        <v>0</v>
      </c>
      <c r="J1312">
        <v>30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V1312">
        <v>0</v>
      </c>
      <c r="W1312">
        <v>1097</v>
      </c>
    </row>
    <row r="1313" spans="1:23" x14ac:dyDescent="0.25">
      <c r="H1313">
        <v>400</v>
      </c>
    </row>
    <row r="1314" spans="1:23" x14ac:dyDescent="0.25">
      <c r="A1314">
        <v>654</v>
      </c>
      <c r="B1314">
        <v>1645</v>
      </c>
      <c r="C1314" t="s">
        <v>1967</v>
      </c>
      <c r="D1314" t="s">
        <v>20</v>
      </c>
      <c r="E1314" t="s">
        <v>71</v>
      </c>
      <c r="F1314" t="s">
        <v>1968</v>
      </c>
      <c r="G1314" t="str">
        <f>"00215172"</f>
        <v>00215172</v>
      </c>
      <c r="H1314" t="s">
        <v>1969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51</v>
      </c>
      <c r="S1314">
        <v>357</v>
      </c>
      <c r="T1314">
        <v>0</v>
      </c>
      <c r="V1314">
        <v>1</v>
      </c>
      <c r="W1314" t="s">
        <v>1970</v>
      </c>
    </row>
    <row r="1315" spans="1:23" x14ac:dyDescent="0.25">
      <c r="H1315">
        <v>400</v>
      </c>
    </row>
    <row r="1316" spans="1:23" x14ac:dyDescent="0.25">
      <c r="A1316">
        <v>655</v>
      </c>
      <c r="B1316">
        <v>818</v>
      </c>
      <c r="C1316" t="s">
        <v>490</v>
      </c>
      <c r="D1316" t="s">
        <v>247</v>
      </c>
      <c r="E1316" t="s">
        <v>50</v>
      </c>
      <c r="F1316" t="s">
        <v>1971</v>
      </c>
      <c r="G1316" t="str">
        <f>"00216095"</f>
        <v>00216095</v>
      </c>
      <c r="H1316" t="s">
        <v>235</v>
      </c>
      <c r="I1316">
        <v>0</v>
      </c>
      <c r="J1316">
        <v>70</v>
      </c>
      <c r="K1316">
        <v>30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V1316">
        <v>0</v>
      </c>
      <c r="W1316" t="s">
        <v>1972</v>
      </c>
    </row>
    <row r="1317" spans="1:23" x14ac:dyDescent="0.25">
      <c r="H1317">
        <v>400</v>
      </c>
    </row>
    <row r="1318" spans="1:23" x14ac:dyDescent="0.25">
      <c r="A1318">
        <v>656</v>
      </c>
      <c r="B1318">
        <v>294</v>
      </c>
      <c r="C1318" t="s">
        <v>1612</v>
      </c>
      <c r="D1318" t="s">
        <v>44</v>
      </c>
      <c r="E1318" t="s">
        <v>21</v>
      </c>
      <c r="F1318" t="s">
        <v>1973</v>
      </c>
      <c r="G1318" t="str">
        <f>"00213111"</f>
        <v>00213111</v>
      </c>
      <c r="H1318" t="s">
        <v>114</v>
      </c>
      <c r="I1318">
        <v>0</v>
      </c>
      <c r="J1318">
        <v>30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21</v>
      </c>
      <c r="S1318">
        <v>147</v>
      </c>
      <c r="T1318">
        <v>0</v>
      </c>
      <c r="V1318">
        <v>1</v>
      </c>
      <c r="W1318" t="s">
        <v>1972</v>
      </c>
    </row>
    <row r="1319" spans="1:23" x14ac:dyDescent="0.25">
      <c r="H1319">
        <v>400</v>
      </c>
    </row>
    <row r="1320" spans="1:23" x14ac:dyDescent="0.25">
      <c r="A1320">
        <v>657</v>
      </c>
      <c r="B1320">
        <v>1866</v>
      </c>
      <c r="C1320" t="s">
        <v>1974</v>
      </c>
      <c r="D1320" t="s">
        <v>620</v>
      </c>
      <c r="E1320" t="s">
        <v>59</v>
      </c>
      <c r="F1320" t="s">
        <v>1975</v>
      </c>
      <c r="G1320" t="str">
        <f>"201405000169"</f>
        <v>201405000169</v>
      </c>
      <c r="H1320">
        <v>737</v>
      </c>
      <c r="I1320">
        <v>0</v>
      </c>
      <c r="J1320">
        <v>70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41</v>
      </c>
      <c r="S1320">
        <v>287</v>
      </c>
      <c r="T1320">
        <v>0</v>
      </c>
      <c r="V1320">
        <v>1</v>
      </c>
      <c r="W1320">
        <v>1094</v>
      </c>
    </row>
    <row r="1321" spans="1:23" x14ac:dyDescent="0.25">
      <c r="H1321">
        <v>400</v>
      </c>
    </row>
    <row r="1322" spans="1:23" x14ac:dyDescent="0.25">
      <c r="A1322">
        <v>658</v>
      </c>
      <c r="B1322">
        <v>1082</v>
      </c>
      <c r="C1322" t="s">
        <v>1976</v>
      </c>
      <c r="D1322" t="s">
        <v>125</v>
      </c>
      <c r="E1322" t="s">
        <v>408</v>
      </c>
      <c r="F1322" t="s">
        <v>1977</v>
      </c>
      <c r="G1322" t="str">
        <f>"200804000707"</f>
        <v>200804000707</v>
      </c>
      <c r="H1322" t="s">
        <v>218</v>
      </c>
      <c r="I1322">
        <v>0</v>
      </c>
      <c r="J1322">
        <v>70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26</v>
      </c>
      <c r="S1322">
        <v>182</v>
      </c>
      <c r="T1322">
        <v>0</v>
      </c>
      <c r="V1322">
        <v>0</v>
      </c>
      <c r="W1322" t="s">
        <v>1978</v>
      </c>
    </row>
    <row r="1323" spans="1:23" x14ac:dyDescent="0.25">
      <c r="H1323">
        <v>400</v>
      </c>
    </row>
    <row r="1324" spans="1:23" x14ac:dyDescent="0.25">
      <c r="A1324">
        <v>659</v>
      </c>
      <c r="B1324">
        <v>273</v>
      </c>
      <c r="C1324" t="s">
        <v>1979</v>
      </c>
      <c r="D1324" t="s">
        <v>157</v>
      </c>
      <c r="E1324" t="s">
        <v>15</v>
      </c>
      <c r="F1324" t="s">
        <v>1980</v>
      </c>
      <c r="G1324" t="str">
        <f>"00216426"</f>
        <v>00216426</v>
      </c>
      <c r="H1324" t="s">
        <v>1715</v>
      </c>
      <c r="I1324">
        <v>0</v>
      </c>
      <c r="J1324">
        <v>30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49</v>
      </c>
      <c r="S1324">
        <v>343</v>
      </c>
      <c r="T1324">
        <v>0</v>
      </c>
      <c r="V1324">
        <v>0</v>
      </c>
      <c r="W1324" t="s">
        <v>1978</v>
      </c>
    </row>
    <row r="1325" spans="1:23" x14ac:dyDescent="0.25">
      <c r="H1325">
        <v>400</v>
      </c>
    </row>
    <row r="1326" spans="1:23" x14ac:dyDescent="0.25">
      <c r="A1326">
        <v>660</v>
      </c>
      <c r="B1326">
        <v>1912</v>
      </c>
      <c r="C1326" t="s">
        <v>1981</v>
      </c>
      <c r="D1326" t="s">
        <v>27</v>
      </c>
      <c r="E1326" t="s">
        <v>53</v>
      </c>
      <c r="F1326" t="s">
        <v>1982</v>
      </c>
      <c r="G1326" t="str">
        <f>"00212990"</f>
        <v>00212990</v>
      </c>
      <c r="H1326">
        <v>935</v>
      </c>
      <c r="I1326">
        <v>0</v>
      </c>
      <c r="J1326">
        <v>30</v>
      </c>
      <c r="K1326">
        <v>50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11</v>
      </c>
      <c r="S1326">
        <v>77</v>
      </c>
      <c r="T1326">
        <v>0</v>
      </c>
      <c r="V1326">
        <v>0</v>
      </c>
      <c r="W1326">
        <v>1092</v>
      </c>
    </row>
    <row r="1327" spans="1:23" x14ac:dyDescent="0.25">
      <c r="H1327">
        <v>400</v>
      </c>
    </row>
    <row r="1328" spans="1:23" x14ac:dyDescent="0.25">
      <c r="A1328">
        <v>661</v>
      </c>
      <c r="B1328">
        <v>1711</v>
      </c>
      <c r="C1328" t="s">
        <v>1813</v>
      </c>
      <c r="D1328" t="s">
        <v>204</v>
      </c>
      <c r="E1328" t="s">
        <v>15</v>
      </c>
      <c r="F1328" t="s">
        <v>1983</v>
      </c>
      <c r="G1328" t="str">
        <f>"00217924"</f>
        <v>00217924</v>
      </c>
      <c r="H1328" t="s">
        <v>189</v>
      </c>
      <c r="I1328">
        <v>0</v>
      </c>
      <c r="J1328">
        <v>30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V1328">
        <v>1</v>
      </c>
      <c r="W1328" t="s">
        <v>1984</v>
      </c>
    </row>
    <row r="1329" spans="1:23" x14ac:dyDescent="0.25">
      <c r="H1329">
        <v>400</v>
      </c>
    </row>
    <row r="1330" spans="1:23" x14ac:dyDescent="0.25">
      <c r="A1330">
        <v>662</v>
      </c>
      <c r="B1330">
        <v>1112</v>
      </c>
      <c r="C1330" t="s">
        <v>1985</v>
      </c>
      <c r="D1330" t="s">
        <v>177</v>
      </c>
      <c r="E1330" t="s">
        <v>200</v>
      </c>
      <c r="F1330" t="s">
        <v>1986</v>
      </c>
      <c r="G1330" t="str">
        <f>"00141068"</f>
        <v>00141068</v>
      </c>
      <c r="H1330">
        <v>880</v>
      </c>
      <c r="I1330">
        <v>150</v>
      </c>
      <c r="J1330">
        <v>30</v>
      </c>
      <c r="K1330">
        <v>30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V1330">
        <v>0</v>
      </c>
      <c r="W1330">
        <v>1090</v>
      </c>
    </row>
    <row r="1331" spans="1:23" x14ac:dyDescent="0.25">
      <c r="H1331">
        <v>400</v>
      </c>
    </row>
    <row r="1332" spans="1:23" x14ac:dyDescent="0.25">
      <c r="A1332">
        <v>663</v>
      </c>
      <c r="B1332">
        <v>25</v>
      </c>
      <c r="C1332" t="s">
        <v>1987</v>
      </c>
      <c r="D1332" t="s">
        <v>39</v>
      </c>
      <c r="E1332" t="s">
        <v>1241</v>
      </c>
      <c r="F1332" t="s">
        <v>1988</v>
      </c>
      <c r="G1332" t="str">
        <f>"00216606"</f>
        <v>00216606</v>
      </c>
      <c r="H1332">
        <v>550</v>
      </c>
      <c r="I1332">
        <v>0</v>
      </c>
      <c r="J1332">
        <v>70</v>
      </c>
      <c r="K1332">
        <v>50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60</v>
      </c>
      <c r="S1332">
        <v>420</v>
      </c>
      <c r="T1332">
        <v>0</v>
      </c>
      <c r="V1332">
        <v>0</v>
      </c>
      <c r="W1332">
        <v>1090</v>
      </c>
    </row>
    <row r="1333" spans="1:23" x14ac:dyDescent="0.25">
      <c r="H1333">
        <v>400</v>
      </c>
    </row>
    <row r="1334" spans="1:23" x14ac:dyDescent="0.25">
      <c r="A1334">
        <v>664</v>
      </c>
      <c r="B1334">
        <v>782</v>
      </c>
      <c r="C1334" t="s">
        <v>1989</v>
      </c>
      <c r="D1334" t="s">
        <v>49</v>
      </c>
      <c r="E1334" t="s">
        <v>1990</v>
      </c>
      <c r="F1334" t="s">
        <v>1991</v>
      </c>
      <c r="G1334" t="str">
        <f>"00216451"</f>
        <v>00216451</v>
      </c>
      <c r="H1334" t="s">
        <v>643</v>
      </c>
      <c r="I1334">
        <v>0</v>
      </c>
      <c r="J1334">
        <v>30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50</v>
      </c>
      <c r="S1334">
        <v>350</v>
      </c>
      <c r="T1334">
        <v>0</v>
      </c>
      <c r="V1334">
        <v>0</v>
      </c>
      <c r="W1334" t="s">
        <v>1992</v>
      </c>
    </row>
    <row r="1335" spans="1:23" x14ac:dyDescent="0.25">
      <c r="H1335">
        <v>400</v>
      </c>
    </row>
    <row r="1336" spans="1:23" x14ac:dyDescent="0.25">
      <c r="A1336">
        <v>665</v>
      </c>
      <c r="B1336">
        <v>1322</v>
      </c>
      <c r="C1336" t="s">
        <v>1993</v>
      </c>
      <c r="D1336" t="s">
        <v>157</v>
      </c>
      <c r="E1336" t="s">
        <v>59</v>
      </c>
      <c r="F1336" t="s">
        <v>1994</v>
      </c>
      <c r="G1336" t="str">
        <f>"00201984"</f>
        <v>00201984</v>
      </c>
      <c r="H1336">
        <v>825</v>
      </c>
      <c r="I1336">
        <v>0</v>
      </c>
      <c r="J1336">
        <v>30</v>
      </c>
      <c r="K1336">
        <v>30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29</v>
      </c>
      <c r="S1336">
        <v>203</v>
      </c>
      <c r="T1336">
        <v>0</v>
      </c>
      <c r="V1336">
        <v>0</v>
      </c>
      <c r="W1336">
        <v>1088</v>
      </c>
    </row>
    <row r="1337" spans="1:23" x14ac:dyDescent="0.25">
      <c r="H1337">
        <v>400</v>
      </c>
    </row>
    <row r="1338" spans="1:23" x14ac:dyDescent="0.25">
      <c r="A1338">
        <v>666</v>
      </c>
      <c r="B1338">
        <v>1843</v>
      </c>
      <c r="C1338" t="s">
        <v>1995</v>
      </c>
      <c r="D1338" t="s">
        <v>942</v>
      </c>
      <c r="E1338" t="s">
        <v>27</v>
      </c>
      <c r="F1338" t="s">
        <v>1996</v>
      </c>
      <c r="G1338" t="str">
        <f>"00218016"</f>
        <v>00218016</v>
      </c>
      <c r="H1338" t="s">
        <v>120</v>
      </c>
      <c r="I1338">
        <v>0</v>
      </c>
      <c r="J1338">
        <v>70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V1338">
        <v>0</v>
      </c>
      <c r="W1338" t="s">
        <v>1997</v>
      </c>
    </row>
    <row r="1339" spans="1:23" x14ac:dyDescent="0.25">
      <c r="H1339">
        <v>400</v>
      </c>
    </row>
    <row r="1340" spans="1:23" x14ac:dyDescent="0.25">
      <c r="A1340">
        <v>667</v>
      </c>
      <c r="B1340">
        <v>129</v>
      </c>
      <c r="C1340" t="s">
        <v>1998</v>
      </c>
      <c r="D1340" t="s">
        <v>187</v>
      </c>
      <c r="E1340" t="s">
        <v>209</v>
      </c>
      <c r="F1340">
        <v>292654</v>
      </c>
      <c r="G1340" t="str">
        <f>"00217111"</f>
        <v>00217111</v>
      </c>
      <c r="H1340">
        <v>1056</v>
      </c>
      <c r="I1340">
        <v>0</v>
      </c>
      <c r="J1340">
        <v>30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V1340">
        <v>0</v>
      </c>
      <c r="W1340">
        <v>1086</v>
      </c>
    </row>
    <row r="1341" spans="1:23" x14ac:dyDescent="0.25">
      <c r="H1341">
        <v>400</v>
      </c>
    </row>
    <row r="1342" spans="1:23" x14ac:dyDescent="0.25">
      <c r="A1342">
        <v>668</v>
      </c>
      <c r="B1342">
        <v>109</v>
      </c>
      <c r="C1342" t="s">
        <v>1999</v>
      </c>
      <c r="D1342" t="s">
        <v>26</v>
      </c>
      <c r="E1342" t="s">
        <v>408</v>
      </c>
      <c r="F1342" t="s">
        <v>2000</v>
      </c>
      <c r="G1342" t="str">
        <f>"201507000593"</f>
        <v>201507000593</v>
      </c>
      <c r="H1342" t="s">
        <v>285</v>
      </c>
      <c r="I1342">
        <v>0</v>
      </c>
      <c r="J1342">
        <v>30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18</v>
      </c>
      <c r="S1342">
        <v>126</v>
      </c>
      <c r="T1342">
        <v>0</v>
      </c>
      <c r="V1342">
        <v>0</v>
      </c>
      <c r="W1342" t="s">
        <v>2001</v>
      </c>
    </row>
    <row r="1343" spans="1:23" x14ac:dyDescent="0.25">
      <c r="H1343">
        <v>400</v>
      </c>
    </row>
    <row r="1344" spans="1:23" x14ac:dyDescent="0.25">
      <c r="A1344">
        <v>669</v>
      </c>
      <c r="B1344">
        <v>806</v>
      </c>
      <c r="C1344" t="s">
        <v>2002</v>
      </c>
      <c r="D1344" t="s">
        <v>2003</v>
      </c>
      <c r="E1344" t="s">
        <v>484</v>
      </c>
      <c r="F1344" t="s">
        <v>2004</v>
      </c>
      <c r="G1344" t="str">
        <f>"00212835"</f>
        <v>00212835</v>
      </c>
      <c r="H1344">
        <v>935</v>
      </c>
      <c r="I1344">
        <v>150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V1344">
        <v>0</v>
      </c>
      <c r="W1344">
        <v>1085</v>
      </c>
    </row>
    <row r="1345" spans="1:23" x14ac:dyDescent="0.25">
      <c r="H1345">
        <v>400</v>
      </c>
    </row>
    <row r="1346" spans="1:23" x14ac:dyDescent="0.25">
      <c r="A1346">
        <v>670</v>
      </c>
      <c r="B1346">
        <v>846</v>
      </c>
      <c r="C1346" t="s">
        <v>2005</v>
      </c>
      <c r="D1346" t="s">
        <v>180</v>
      </c>
      <c r="E1346" t="s">
        <v>1651</v>
      </c>
      <c r="F1346" t="s">
        <v>2006</v>
      </c>
      <c r="G1346" t="str">
        <f>"201412004146"</f>
        <v>201412004146</v>
      </c>
      <c r="H1346" t="s">
        <v>868</v>
      </c>
      <c r="I1346">
        <v>0</v>
      </c>
      <c r="J1346">
        <v>70</v>
      </c>
      <c r="K1346">
        <v>0</v>
      </c>
      <c r="L1346">
        <v>30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25</v>
      </c>
      <c r="S1346">
        <v>175</v>
      </c>
      <c r="T1346">
        <v>0</v>
      </c>
      <c r="V1346">
        <v>0</v>
      </c>
      <c r="W1346" t="s">
        <v>2007</v>
      </c>
    </row>
    <row r="1347" spans="1:23" x14ac:dyDescent="0.25">
      <c r="H1347">
        <v>400</v>
      </c>
    </row>
    <row r="1348" spans="1:23" x14ac:dyDescent="0.25">
      <c r="A1348">
        <v>671</v>
      </c>
      <c r="B1348">
        <v>1227</v>
      </c>
      <c r="C1348" t="s">
        <v>2008</v>
      </c>
      <c r="D1348" t="s">
        <v>27</v>
      </c>
      <c r="E1348" t="s">
        <v>209</v>
      </c>
      <c r="F1348" t="s">
        <v>2009</v>
      </c>
      <c r="G1348" t="str">
        <f>"00214253"</f>
        <v>00214253</v>
      </c>
      <c r="H1348" t="s">
        <v>2010</v>
      </c>
      <c r="I1348">
        <v>0</v>
      </c>
      <c r="J1348">
        <v>30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12</v>
      </c>
      <c r="S1348">
        <v>84</v>
      </c>
      <c r="T1348">
        <v>0</v>
      </c>
      <c r="V1348">
        <v>0</v>
      </c>
      <c r="W1348" t="s">
        <v>2011</v>
      </c>
    </row>
    <row r="1349" spans="1:23" x14ac:dyDescent="0.25">
      <c r="H1349">
        <v>400</v>
      </c>
    </row>
    <row r="1350" spans="1:23" x14ac:dyDescent="0.25">
      <c r="A1350">
        <v>672</v>
      </c>
      <c r="B1350">
        <v>1756</v>
      </c>
      <c r="C1350" t="s">
        <v>2012</v>
      </c>
      <c r="D1350" t="s">
        <v>97</v>
      </c>
      <c r="E1350" t="s">
        <v>82</v>
      </c>
      <c r="F1350" t="s">
        <v>2013</v>
      </c>
      <c r="G1350" t="str">
        <f>"201406006142"</f>
        <v>201406006142</v>
      </c>
      <c r="H1350">
        <v>693</v>
      </c>
      <c r="I1350">
        <v>150</v>
      </c>
      <c r="J1350">
        <v>30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30</v>
      </c>
      <c r="S1350">
        <v>210</v>
      </c>
      <c r="T1350">
        <v>0</v>
      </c>
      <c r="V1350">
        <v>1</v>
      </c>
      <c r="W1350">
        <v>1083</v>
      </c>
    </row>
    <row r="1351" spans="1:23" x14ac:dyDescent="0.25">
      <c r="H1351">
        <v>400</v>
      </c>
    </row>
    <row r="1352" spans="1:23" x14ac:dyDescent="0.25">
      <c r="A1352">
        <v>673</v>
      </c>
      <c r="B1352">
        <v>152</v>
      </c>
      <c r="C1352" t="s">
        <v>2014</v>
      </c>
      <c r="D1352" t="s">
        <v>59</v>
      </c>
      <c r="E1352" t="s">
        <v>467</v>
      </c>
      <c r="F1352" t="s">
        <v>2015</v>
      </c>
      <c r="G1352" t="str">
        <f>"00217604"</f>
        <v>00217604</v>
      </c>
      <c r="H1352" t="s">
        <v>2016</v>
      </c>
      <c r="I1352">
        <v>150</v>
      </c>
      <c r="J1352">
        <v>30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24</v>
      </c>
      <c r="S1352">
        <v>168</v>
      </c>
      <c r="T1352">
        <v>0</v>
      </c>
      <c r="V1352">
        <v>0</v>
      </c>
      <c r="W1352" t="s">
        <v>2017</v>
      </c>
    </row>
    <row r="1353" spans="1:23" x14ac:dyDescent="0.25">
      <c r="H1353">
        <v>400</v>
      </c>
    </row>
    <row r="1354" spans="1:23" x14ac:dyDescent="0.25">
      <c r="A1354">
        <v>674</v>
      </c>
      <c r="B1354">
        <v>203</v>
      </c>
      <c r="C1354" t="s">
        <v>2018</v>
      </c>
      <c r="D1354" t="s">
        <v>2019</v>
      </c>
      <c r="E1354" t="s">
        <v>2020</v>
      </c>
      <c r="F1354" t="s">
        <v>2021</v>
      </c>
      <c r="G1354" t="str">
        <f>"201409003435"</f>
        <v>201409003435</v>
      </c>
      <c r="H1354">
        <v>825</v>
      </c>
      <c r="I1354">
        <v>150</v>
      </c>
      <c r="J1354">
        <v>50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8</v>
      </c>
      <c r="S1354">
        <v>56</v>
      </c>
      <c r="T1354">
        <v>0</v>
      </c>
      <c r="V1354">
        <v>1</v>
      </c>
      <c r="W1354">
        <v>1081</v>
      </c>
    </row>
    <row r="1355" spans="1:23" x14ac:dyDescent="0.25">
      <c r="H1355">
        <v>400</v>
      </c>
    </row>
    <row r="1356" spans="1:23" x14ac:dyDescent="0.25">
      <c r="A1356">
        <v>675</v>
      </c>
      <c r="B1356">
        <v>1035</v>
      </c>
      <c r="C1356" t="s">
        <v>2022</v>
      </c>
      <c r="D1356" t="s">
        <v>1925</v>
      </c>
      <c r="E1356" t="s">
        <v>158</v>
      </c>
      <c r="F1356" t="s">
        <v>2023</v>
      </c>
      <c r="G1356" t="str">
        <f>"201402002670"</f>
        <v>201402002670</v>
      </c>
      <c r="H1356">
        <v>660</v>
      </c>
      <c r="I1356">
        <v>0</v>
      </c>
      <c r="J1356">
        <v>50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53</v>
      </c>
      <c r="S1356">
        <v>371</v>
      </c>
      <c r="T1356">
        <v>0</v>
      </c>
      <c r="V1356">
        <v>0</v>
      </c>
      <c r="W1356">
        <v>1081</v>
      </c>
    </row>
    <row r="1357" spans="1:23" x14ac:dyDescent="0.25">
      <c r="H1357">
        <v>400</v>
      </c>
    </row>
    <row r="1358" spans="1:23" x14ac:dyDescent="0.25">
      <c r="A1358">
        <v>676</v>
      </c>
      <c r="B1358">
        <v>1070</v>
      </c>
      <c r="C1358" t="s">
        <v>2024</v>
      </c>
      <c r="D1358" t="s">
        <v>50</v>
      </c>
      <c r="E1358" t="s">
        <v>39</v>
      </c>
      <c r="F1358" t="s">
        <v>2025</v>
      </c>
      <c r="G1358" t="str">
        <f>"00213502"</f>
        <v>00213502</v>
      </c>
      <c r="H1358" t="s">
        <v>472</v>
      </c>
      <c r="I1358">
        <v>0</v>
      </c>
      <c r="J1358">
        <v>30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25</v>
      </c>
      <c r="S1358">
        <v>175</v>
      </c>
      <c r="T1358">
        <v>0</v>
      </c>
      <c r="V1358">
        <v>0</v>
      </c>
      <c r="W1358" t="s">
        <v>2026</v>
      </c>
    </row>
    <row r="1359" spans="1:23" x14ac:dyDescent="0.25">
      <c r="H1359">
        <v>400</v>
      </c>
    </row>
    <row r="1360" spans="1:23" x14ac:dyDescent="0.25">
      <c r="A1360">
        <v>677</v>
      </c>
      <c r="B1360">
        <v>701</v>
      </c>
      <c r="C1360" t="s">
        <v>2027</v>
      </c>
      <c r="D1360" t="s">
        <v>498</v>
      </c>
      <c r="E1360" t="s">
        <v>71</v>
      </c>
      <c r="F1360" t="s">
        <v>2028</v>
      </c>
      <c r="G1360" t="str">
        <f>"00217258"</f>
        <v>00217258</v>
      </c>
      <c r="H1360">
        <v>836</v>
      </c>
      <c r="I1360">
        <v>0</v>
      </c>
      <c r="J1360">
        <v>30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26</v>
      </c>
      <c r="S1360">
        <v>182</v>
      </c>
      <c r="T1360">
        <v>0</v>
      </c>
      <c r="V1360">
        <v>0</v>
      </c>
      <c r="W1360">
        <v>1078</v>
      </c>
    </row>
    <row r="1361" spans="1:23" x14ac:dyDescent="0.25">
      <c r="H1361">
        <v>400</v>
      </c>
    </row>
    <row r="1362" spans="1:23" x14ac:dyDescent="0.25">
      <c r="A1362">
        <v>678</v>
      </c>
      <c r="B1362">
        <v>1652</v>
      </c>
      <c r="C1362" t="s">
        <v>1123</v>
      </c>
      <c r="D1362" t="s">
        <v>111</v>
      </c>
      <c r="E1362" t="s">
        <v>21</v>
      </c>
      <c r="F1362" t="s">
        <v>2029</v>
      </c>
      <c r="G1362" t="str">
        <f>"00212917"</f>
        <v>00212917</v>
      </c>
      <c r="H1362" t="s">
        <v>41</v>
      </c>
      <c r="I1362">
        <v>0</v>
      </c>
      <c r="J1362">
        <v>70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V1362">
        <v>1</v>
      </c>
      <c r="W1362" t="s">
        <v>2030</v>
      </c>
    </row>
    <row r="1363" spans="1:23" x14ac:dyDescent="0.25">
      <c r="H1363">
        <v>400</v>
      </c>
    </row>
    <row r="1364" spans="1:23" x14ac:dyDescent="0.25">
      <c r="A1364">
        <v>679</v>
      </c>
      <c r="B1364">
        <v>1715</v>
      </c>
      <c r="C1364" t="s">
        <v>27</v>
      </c>
      <c r="D1364" t="s">
        <v>2031</v>
      </c>
      <c r="E1364" t="s">
        <v>2032</v>
      </c>
      <c r="F1364" t="s">
        <v>2033</v>
      </c>
      <c r="G1364" t="str">
        <f>"00215496"</f>
        <v>00215496</v>
      </c>
      <c r="H1364">
        <v>946</v>
      </c>
      <c r="I1364">
        <v>0</v>
      </c>
      <c r="J1364">
        <v>70</v>
      </c>
      <c r="K1364">
        <v>0</v>
      </c>
      <c r="L1364">
        <v>0</v>
      </c>
      <c r="M1364">
        <v>30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V1364">
        <v>0</v>
      </c>
      <c r="W1364">
        <v>1076</v>
      </c>
    </row>
    <row r="1365" spans="1:23" x14ac:dyDescent="0.25">
      <c r="H1365">
        <v>400</v>
      </c>
    </row>
    <row r="1366" spans="1:23" x14ac:dyDescent="0.25">
      <c r="A1366">
        <v>680</v>
      </c>
      <c r="B1366">
        <v>1577</v>
      </c>
      <c r="C1366" t="s">
        <v>2034</v>
      </c>
      <c r="D1366" t="s">
        <v>131</v>
      </c>
      <c r="E1366" t="s">
        <v>291</v>
      </c>
      <c r="F1366" t="s">
        <v>2035</v>
      </c>
      <c r="G1366" t="str">
        <f>"201403000109"</f>
        <v>201403000109</v>
      </c>
      <c r="H1366">
        <v>803</v>
      </c>
      <c r="I1366">
        <v>0</v>
      </c>
      <c r="J1366">
        <v>70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29</v>
      </c>
      <c r="S1366">
        <v>203</v>
      </c>
      <c r="T1366">
        <v>0</v>
      </c>
      <c r="V1366">
        <v>0</v>
      </c>
      <c r="W1366">
        <v>1076</v>
      </c>
    </row>
    <row r="1367" spans="1:23" x14ac:dyDescent="0.25">
      <c r="H1367">
        <v>400</v>
      </c>
    </row>
    <row r="1368" spans="1:23" x14ac:dyDescent="0.25">
      <c r="A1368">
        <v>681</v>
      </c>
      <c r="B1368">
        <v>634</v>
      </c>
      <c r="C1368" t="s">
        <v>2036</v>
      </c>
      <c r="D1368" t="s">
        <v>21</v>
      </c>
      <c r="E1368" t="s">
        <v>229</v>
      </c>
      <c r="F1368" t="s">
        <v>2037</v>
      </c>
      <c r="G1368" t="str">
        <f>"201502000488"</f>
        <v>201502000488</v>
      </c>
      <c r="H1368">
        <v>770</v>
      </c>
      <c r="I1368">
        <v>150</v>
      </c>
      <c r="J1368">
        <v>30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18</v>
      </c>
      <c r="S1368">
        <v>126</v>
      </c>
      <c r="T1368">
        <v>0</v>
      </c>
      <c r="V1368">
        <v>1</v>
      </c>
      <c r="W1368">
        <v>1076</v>
      </c>
    </row>
    <row r="1369" spans="1:23" x14ac:dyDescent="0.25">
      <c r="H1369">
        <v>400</v>
      </c>
    </row>
    <row r="1370" spans="1:23" x14ac:dyDescent="0.25">
      <c r="A1370">
        <v>682</v>
      </c>
      <c r="B1370">
        <v>154</v>
      </c>
      <c r="C1370" t="s">
        <v>1801</v>
      </c>
      <c r="D1370" t="s">
        <v>2038</v>
      </c>
      <c r="E1370" t="s">
        <v>21</v>
      </c>
      <c r="F1370" t="s">
        <v>2039</v>
      </c>
      <c r="G1370" t="str">
        <f>"00150295"</f>
        <v>00150295</v>
      </c>
      <c r="H1370">
        <v>693</v>
      </c>
      <c r="I1370">
        <v>150</v>
      </c>
      <c r="J1370">
        <v>30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29</v>
      </c>
      <c r="S1370">
        <v>203</v>
      </c>
      <c r="T1370">
        <v>0</v>
      </c>
      <c r="V1370">
        <v>0</v>
      </c>
      <c r="W1370">
        <v>1076</v>
      </c>
    </row>
    <row r="1371" spans="1:23" x14ac:dyDescent="0.25">
      <c r="H1371" t="s">
        <v>76</v>
      </c>
    </row>
    <row r="1372" spans="1:23" x14ac:dyDescent="0.25">
      <c r="A1372">
        <v>683</v>
      </c>
      <c r="B1372">
        <v>638</v>
      </c>
      <c r="C1372" t="s">
        <v>2040</v>
      </c>
      <c r="D1372" t="s">
        <v>71</v>
      </c>
      <c r="E1372" t="s">
        <v>71</v>
      </c>
      <c r="F1372" t="s">
        <v>2041</v>
      </c>
      <c r="G1372" t="str">
        <f>"00009901"</f>
        <v>00009901</v>
      </c>
      <c r="H1372">
        <v>605</v>
      </c>
      <c r="I1372">
        <v>0</v>
      </c>
      <c r="J1372">
        <v>30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63</v>
      </c>
      <c r="S1372">
        <v>441</v>
      </c>
      <c r="T1372">
        <v>0</v>
      </c>
      <c r="V1372">
        <v>0</v>
      </c>
      <c r="W1372">
        <v>1076</v>
      </c>
    </row>
    <row r="1373" spans="1:23" x14ac:dyDescent="0.25">
      <c r="H1373">
        <v>400</v>
      </c>
    </row>
    <row r="1374" spans="1:23" x14ac:dyDescent="0.25">
      <c r="A1374">
        <v>684</v>
      </c>
      <c r="B1374">
        <v>369</v>
      </c>
      <c r="C1374" t="s">
        <v>2042</v>
      </c>
      <c r="D1374" t="s">
        <v>20</v>
      </c>
      <c r="E1374" t="s">
        <v>158</v>
      </c>
      <c r="F1374" t="s">
        <v>2043</v>
      </c>
      <c r="G1374" t="str">
        <f>"00216424"</f>
        <v>00216424</v>
      </c>
      <c r="H1374">
        <v>715</v>
      </c>
      <c r="I1374">
        <v>0</v>
      </c>
      <c r="J1374">
        <v>50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44</v>
      </c>
      <c r="S1374">
        <v>308</v>
      </c>
      <c r="T1374">
        <v>0</v>
      </c>
      <c r="V1374">
        <v>0</v>
      </c>
      <c r="W1374">
        <v>1073</v>
      </c>
    </row>
    <row r="1375" spans="1:23" x14ac:dyDescent="0.25">
      <c r="H1375">
        <v>400</v>
      </c>
    </row>
    <row r="1376" spans="1:23" x14ac:dyDescent="0.25">
      <c r="A1376">
        <v>685</v>
      </c>
      <c r="B1376">
        <v>991</v>
      </c>
      <c r="C1376" t="s">
        <v>2044</v>
      </c>
      <c r="D1376" t="s">
        <v>87</v>
      </c>
      <c r="E1376" t="s">
        <v>209</v>
      </c>
      <c r="F1376" t="s">
        <v>2045</v>
      </c>
      <c r="G1376" t="str">
        <f>"201502003760"</f>
        <v>201502003760</v>
      </c>
      <c r="H1376" t="s">
        <v>603</v>
      </c>
      <c r="I1376">
        <v>0</v>
      </c>
      <c r="J1376">
        <v>30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27</v>
      </c>
      <c r="S1376">
        <v>189</v>
      </c>
      <c r="T1376">
        <v>0</v>
      </c>
      <c r="V1376">
        <v>0</v>
      </c>
      <c r="W1376" t="s">
        <v>2046</v>
      </c>
    </row>
    <row r="1377" spans="1:23" x14ac:dyDescent="0.25">
      <c r="H1377">
        <v>400</v>
      </c>
    </row>
    <row r="1378" spans="1:23" x14ac:dyDescent="0.25">
      <c r="A1378">
        <v>686</v>
      </c>
      <c r="B1378">
        <v>355</v>
      </c>
      <c r="C1378" t="s">
        <v>2047</v>
      </c>
      <c r="D1378" t="s">
        <v>49</v>
      </c>
      <c r="E1378" t="s">
        <v>468</v>
      </c>
      <c r="F1378" t="s">
        <v>2048</v>
      </c>
      <c r="G1378" t="str">
        <f>"00210385"</f>
        <v>00210385</v>
      </c>
      <c r="H1378" t="s">
        <v>861</v>
      </c>
      <c r="I1378">
        <v>0</v>
      </c>
      <c r="J1378">
        <v>30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41</v>
      </c>
      <c r="S1378">
        <v>287</v>
      </c>
      <c r="T1378">
        <v>0</v>
      </c>
      <c r="V1378">
        <v>0</v>
      </c>
      <c r="W1378" t="s">
        <v>2049</v>
      </c>
    </row>
    <row r="1379" spans="1:23" x14ac:dyDescent="0.25">
      <c r="H1379">
        <v>400</v>
      </c>
    </row>
    <row r="1380" spans="1:23" x14ac:dyDescent="0.25">
      <c r="A1380">
        <v>687</v>
      </c>
      <c r="B1380">
        <v>771</v>
      </c>
      <c r="C1380" t="s">
        <v>2050</v>
      </c>
      <c r="D1380" t="s">
        <v>918</v>
      </c>
      <c r="E1380" t="s">
        <v>21</v>
      </c>
      <c r="F1380" t="s">
        <v>2051</v>
      </c>
      <c r="G1380" t="str">
        <f>"00147055"</f>
        <v>00147055</v>
      </c>
      <c r="H1380">
        <v>638</v>
      </c>
      <c r="I1380">
        <v>150</v>
      </c>
      <c r="J1380">
        <v>30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36</v>
      </c>
      <c r="S1380">
        <v>252</v>
      </c>
      <c r="T1380">
        <v>0</v>
      </c>
      <c r="V1380">
        <v>1</v>
      </c>
      <c r="W1380">
        <v>1070</v>
      </c>
    </row>
    <row r="1381" spans="1:23" x14ac:dyDescent="0.25">
      <c r="H1381">
        <v>400</v>
      </c>
    </row>
    <row r="1382" spans="1:23" x14ac:dyDescent="0.25">
      <c r="A1382">
        <v>688</v>
      </c>
      <c r="B1382">
        <v>833</v>
      </c>
      <c r="C1382" t="s">
        <v>2052</v>
      </c>
      <c r="D1382" t="s">
        <v>187</v>
      </c>
      <c r="E1382" t="s">
        <v>59</v>
      </c>
      <c r="F1382" t="s">
        <v>2053</v>
      </c>
      <c r="G1382" t="str">
        <f>"00170529"</f>
        <v>00170529</v>
      </c>
      <c r="H1382">
        <v>880</v>
      </c>
      <c r="I1382">
        <v>0</v>
      </c>
      <c r="J1382">
        <v>70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17</v>
      </c>
      <c r="S1382">
        <v>119</v>
      </c>
      <c r="T1382">
        <v>0</v>
      </c>
      <c r="V1382">
        <v>0</v>
      </c>
      <c r="W1382">
        <v>1069</v>
      </c>
    </row>
    <row r="1383" spans="1:23" x14ac:dyDescent="0.25">
      <c r="H1383">
        <v>400</v>
      </c>
    </row>
    <row r="1384" spans="1:23" x14ac:dyDescent="0.25">
      <c r="A1384">
        <v>689</v>
      </c>
      <c r="B1384">
        <v>171</v>
      </c>
      <c r="C1384" t="s">
        <v>2054</v>
      </c>
      <c r="D1384" t="s">
        <v>363</v>
      </c>
      <c r="E1384" t="s">
        <v>27</v>
      </c>
      <c r="F1384" t="s">
        <v>2055</v>
      </c>
      <c r="G1384" t="str">
        <f>"00217972"</f>
        <v>00217972</v>
      </c>
      <c r="H1384">
        <v>660</v>
      </c>
      <c r="I1384">
        <v>0</v>
      </c>
      <c r="J1384">
        <v>30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54</v>
      </c>
      <c r="S1384">
        <v>378</v>
      </c>
      <c r="T1384">
        <v>0</v>
      </c>
      <c r="V1384">
        <v>0</v>
      </c>
      <c r="W1384">
        <v>1068</v>
      </c>
    </row>
    <row r="1385" spans="1:23" x14ac:dyDescent="0.25">
      <c r="H1385">
        <v>400</v>
      </c>
    </row>
    <row r="1386" spans="1:23" x14ac:dyDescent="0.25">
      <c r="A1386">
        <v>690</v>
      </c>
      <c r="B1386">
        <v>317</v>
      </c>
      <c r="C1386" t="s">
        <v>2056</v>
      </c>
      <c r="D1386" t="s">
        <v>2057</v>
      </c>
      <c r="E1386" t="s">
        <v>15</v>
      </c>
      <c r="F1386" t="s">
        <v>2058</v>
      </c>
      <c r="G1386" t="str">
        <f>"201511017315"</f>
        <v>201511017315</v>
      </c>
      <c r="H1386" t="s">
        <v>2059</v>
      </c>
      <c r="I1386">
        <v>0</v>
      </c>
      <c r="J1386">
        <v>30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25</v>
      </c>
      <c r="S1386">
        <v>175</v>
      </c>
      <c r="T1386">
        <v>0</v>
      </c>
      <c r="V1386">
        <v>1</v>
      </c>
      <c r="W1386" t="s">
        <v>2060</v>
      </c>
    </row>
    <row r="1387" spans="1:23" x14ac:dyDescent="0.25">
      <c r="H1387">
        <v>400</v>
      </c>
    </row>
    <row r="1388" spans="1:23" x14ac:dyDescent="0.25">
      <c r="A1388">
        <v>691</v>
      </c>
      <c r="B1388">
        <v>1536</v>
      </c>
      <c r="C1388" t="s">
        <v>2061</v>
      </c>
      <c r="D1388" t="s">
        <v>2062</v>
      </c>
      <c r="E1388" t="s">
        <v>1096</v>
      </c>
      <c r="F1388" t="s">
        <v>2063</v>
      </c>
      <c r="G1388" t="str">
        <f>"00141900"</f>
        <v>00141900</v>
      </c>
      <c r="H1388">
        <v>693</v>
      </c>
      <c r="I1388">
        <v>0</v>
      </c>
      <c r="J1388">
        <v>30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49</v>
      </c>
      <c r="S1388">
        <v>343</v>
      </c>
      <c r="T1388">
        <v>0</v>
      </c>
      <c r="V1388">
        <v>0</v>
      </c>
      <c r="W1388">
        <v>1066</v>
      </c>
    </row>
    <row r="1389" spans="1:23" x14ac:dyDescent="0.25">
      <c r="H1389">
        <v>400</v>
      </c>
    </row>
    <row r="1390" spans="1:23" x14ac:dyDescent="0.25">
      <c r="A1390">
        <v>692</v>
      </c>
      <c r="B1390">
        <v>1808</v>
      </c>
      <c r="C1390" t="s">
        <v>2064</v>
      </c>
      <c r="D1390" t="s">
        <v>125</v>
      </c>
      <c r="E1390" t="s">
        <v>59</v>
      </c>
      <c r="F1390" t="s">
        <v>2065</v>
      </c>
      <c r="G1390" t="str">
        <f>"00216402"</f>
        <v>00216402</v>
      </c>
      <c r="H1390" t="s">
        <v>868</v>
      </c>
      <c r="I1390">
        <v>150</v>
      </c>
      <c r="J1390">
        <v>30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11</v>
      </c>
      <c r="S1390">
        <v>77</v>
      </c>
      <c r="T1390">
        <v>0</v>
      </c>
      <c r="V1390">
        <v>0</v>
      </c>
      <c r="W1390" t="s">
        <v>2066</v>
      </c>
    </row>
    <row r="1391" spans="1:23" x14ac:dyDescent="0.25">
      <c r="H1391">
        <v>400</v>
      </c>
    </row>
    <row r="1392" spans="1:23" x14ac:dyDescent="0.25">
      <c r="A1392">
        <v>693</v>
      </c>
      <c r="B1392">
        <v>1257</v>
      </c>
      <c r="C1392" t="s">
        <v>2067</v>
      </c>
      <c r="D1392" t="s">
        <v>262</v>
      </c>
      <c r="E1392" t="s">
        <v>408</v>
      </c>
      <c r="F1392" t="s">
        <v>2068</v>
      </c>
      <c r="G1392" t="str">
        <f>"00209488"</f>
        <v>00209488</v>
      </c>
      <c r="H1392" t="s">
        <v>1849</v>
      </c>
      <c r="I1392">
        <v>0</v>
      </c>
      <c r="J1392">
        <v>50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39</v>
      </c>
      <c r="S1392">
        <v>273</v>
      </c>
      <c r="T1392">
        <v>0</v>
      </c>
      <c r="V1392">
        <v>0</v>
      </c>
      <c r="W1392" t="s">
        <v>2066</v>
      </c>
    </row>
    <row r="1393" spans="1:23" x14ac:dyDescent="0.25">
      <c r="H1393">
        <v>400</v>
      </c>
    </row>
    <row r="1394" spans="1:23" x14ac:dyDescent="0.25">
      <c r="A1394">
        <v>694</v>
      </c>
      <c r="B1394">
        <v>1905</v>
      </c>
      <c r="C1394" t="s">
        <v>2069</v>
      </c>
      <c r="D1394" t="s">
        <v>180</v>
      </c>
      <c r="E1394" t="s">
        <v>408</v>
      </c>
      <c r="F1394" t="s">
        <v>2070</v>
      </c>
      <c r="G1394" t="str">
        <f>"00153402"</f>
        <v>00153402</v>
      </c>
      <c r="H1394" t="s">
        <v>861</v>
      </c>
      <c r="I1394">
        <v>0</v>
      </c>
      <c r="J1394">
        <v>30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40</v>
      </c>
      <c r="S1394">
        <v>280</v>
      </c>
      <c r="T1394">
        <v>0</v>
      </c>
      <c r="V1394">
        <v>0</v>
      </c>
      <c r="W1394" t="s">
        <v>2071</v>
      </c>
    </row>
    <row r="1395" spans="1:23" x14ac:dyDescent="0.25">
      <c r="H1395">
        <v>400</v>
      </c>
    </row>
    <row r="1396" spans="1:23" x14ac:dyDescent="0.25">
      <c r="A1396">
        <v>695</v>
      </c>
      <c r="B1396">
        <v>1228</v>
      </c>
      <c r="C1396" t="s">
        <v>2072</v>
      </c>
      <c r="D1396" t="s">
        <v>756</v>
      </c>
      <c r="E1396" t="s">
        <v>15</v>
      </c>
      <c r="F1396" t="s">
        <v>2073</v>
      </c>
      <c r="G1396" t="str">
        <f>"00213265"</f>
        <v>00213265</v>
      </c>
      <c r="H1396" t="s">
        <v>134</v>
      </c>
      <c r="I1396">
        <v>0</v>
      </c>
      <c r="J1396">
        <v>30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24</v>
      </c>
      <c r="S1396">
        <v>168</v>
      </c>
      <c r="T1396">
        <v>0</v>
      </c>
      <c r="V1396">
        <v>0</v>
      </c>
      <c r="W1396" t="s">
        <v>2074</v>
      </c>
    </row>
    <row r="1397" spans="1:23" x14ac:dyDescent="0.25">
      <c r="H1397">
        <v>400</v>
      </c>
    </row>
    <row r="1398" spans="1:23" x14ac:dyDescent="0.25">
      <c r="A1398">
        <v>696</v>
      </c>
      <c r="B1398">
        <v>374</v>
      </c>
      <c r="C1398" t="s">
        <v>2075</v>
      </c>
      <c r="D1398" t="s">
        <v>363</v>
      </c>
      <c r="E1398" t="s">
        <v>209</v>
      </c>
      <c r="F1398" t="s">
        <v>2076</v>
      </c>
      <c r="G1398" t="str">
        <f>"00215554"</f>
        <v>00215554</v>
      </c>
      <c r="H1398">
        <v>836</v>
      </c>
      <c r="I1398">
        <v>0</v>
      </c>
      <c r="J1398">
        <v>70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30</v>
      </c>
      <c r="Q1398">
        <v>0</v>
      </c>
      <c r="R1398">
        <v>18</v>
      </c>
      <c r="S1398">
        <v>126</v>
      </c>
      <c r="T1398">
        <v>0</v>
      </c>
      <c r="V1398">
        <v>0</v>
      </c>
      <c r="W1398">
        <v>1062</v>
      </c>
    </row>
    <row r="1399" spans="1:23" x14ac:dyDescent="0.25">
      <c r="H1399">
        <v>400</v>
      </c>
    </row>
    <row r="1400" spans="1:23" x14ac:dyDescent="0.25">
      <c r="A1400">
        <v>697</v>
      </c>
      <c r="B1400">
        <v>1046</v>
      </c>
      <c r="C1400" t="s">
        <v>2077</v>
      </c>
      <c r="D1400" t="s">
        <v>552</v>
      </c>
      <c r="E1400" t="s">
        <v>2078</v>
      </c>
      <c r="F1400" t="s">
        <v>2079</v>
      </c>
      <c r="G1400" t="str">
        <f>"200801005894"</f>
        <v>200801005894</v>
      </c>
      <c r="H1400" t="s">
        <v>710</v>
      </c>
      <c r="I1400">
        <v>0</v>
      </c>
      <c r="J1400">
        <v>30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24</v>
      </c>
      <c r="S1400">
        <v>168</v>
      </c>
      <c r="T1400">
        <v>0</v>
      </c>
      <c r="V1400">
        <v>0</v>
      </c>
      <c r="W1400" t="s">
        <v>189</v>
      </c>
    </row>
    <row r="1401" spans="1:23" x14ac:dyDescent="0.25">
      <c r="H1401">
        <v>400</v>
      </c>
    </row>
    <row r="1402" spans="1:23" x14ac:dyDescent="0.25">
      <c r="A1402">
        <v>698</v>
      </c>
      <c r="B1402">
        <v>1778</v>
      </c>
      <c r="C1402" t="s">
        <v>2080</v>
      </c>
      <c r="D1402" t="s">
        <v>2081</v>
      </c>
      <c r="E1402" t="s">
        <v>39</v>
      </c>
      <c r="F1402" t="s">
        <v>2082</v>
      </c>
      <c r="G1402" t="str">
        <f>"201402010722"</f>
        <v>201402010722</v>
      </c>
      <c r="H1402">
        <v>1001</v>
      </c>
      <c r="I1402">
        <v>0</v>
      </c>
      <c r="J1402">
        <v>30</v>
      </c>
      <c r="K1402">
        <v>30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V1402">
        <v>0</v>
      </c>
      <c r="W1402">
        <v>1061</v>
      </c>
    </row>
    <row r="1403" spans="1:23" x14ac:dyDescent="0.25">
      <c r="H1403">
        <v>400</v>
      </c>
    </row>
    <row r="1404" spans="1:23" x14ac:dyDescent="0.25">
      <c r="A1404">
        <v>699</v>
      </c>
      <c r="B1404">
        <v>1424</v>
      </c>
      <c r="C1404" t="s">
        <v>2083</v>
      </c>
      <c r="D1404" t="s">
        <v>15</v>
      </c>
      <c r="E1404" t="s">
        <v>59</v>
      </c>
      <c r="F1404" t="s">
        <v>2084</v>
      </c>
      <c r="G1404" t="str">
        <f>"201410008619"</f>
        <v>201410008619</v>
      </c>
      <c r="H1404">
        <v>990</v>
      </c>
      <c r="I1404">
        <v>0</v>
      </c>
      <c r="J1404">
        <v>70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V1404">
        <v>0</v>
      </c>
      <c r="W1404">
        <v>1060</v>
      </c>
    </row>
    <row r="1405" spans="1:23" x14ac:dyDescent="0.25">
      <c r="H1405">
        <v>400</v>
      </c>
    </row>
    <row r="1406" spans="1:23" x14ac:dyDescent="0.25">
      <c r="A1406">
        <v>700</v>
      </c>
      <c r="B1406">
        <v>1103</v>
      </c>
      <c r="C1406" t="s">
        <v>2085</v>
      </c>
      <c r="D1406" t="s">
        <v>50</v>
      </c>
      <c r="E1406" t="s">
        <v>408</v>
      </c>
      <c r="F1406" t="s">
        <v>2086</v>
      </c>
      <c r="G1406" t="str">
        <f>"201406017566"</f>
        <v>201406017566</v>
      </c>
      <c r="H1406" t="s">
        <v>2087</v>
      </c>
      <c r="I1406">
        <v>0</v>
      </c>
      <c r="J1406">
        <v>50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18</v>
      </c>
      <c r="S1406">
        <v>126</v>
      </c>
      <c r="T1406">
        <v>0</v>
      </c>
      <c r="V1406">
        <v>0</v>
      </c>
      <c r="W1406" t="s">
        <v>2088</v>
      </c>
    </row>
    <row r="1407" spans="1:23" x14ac:dyDescent="0.25">
      <c r="H1407">
        <v>400</v>
      </c>
    </row>
    <row r="1408" spans="1:23" x14ac:dyDescent="0.25">
      <c r="A1408">
        <v>701</v>
      </c>
      <c r="B1408">
        <v>164</v>
      </c>
      <c r="C1408" t="s">
        <v>2089</v>
      </c>
      <c r="D1408" t="s">
        <v>49</v>
      </c>
      <c r="E1408" t="s">
        <v>132</v>
      </c>
      <c r="F1408" t="s">
        <v>2090</v>
      </c>
      <c r="G1408" t="str">
        <f>"201409001708"</f>
        <v>201409001708</v>
      </c>
      <c r="H1408" t="s">
        <v>1715</v>
      </c>
      <c r="I1408">
        <v>0</v>
      </c>
      <c r="J1408">
        <v>30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44</v>
      </c>
      <c r="S1408">
        <v>308</v>
      </c>
      <c r="T1408">
        <v>0</v>
      </c>
      <c r="V1408">
        <v>0</v>
      </c>
      <c r="W1408" t="s">
        <v>2091</v>
      </c>
    </row>
    <row r="1409" spans="1:23" x14ac:dyDescent="0.25">
      <c r="H1409">
        <v>400</v>
      </c>
    </row>
    <row r="1410" spans="1:23" x14ac:dyDescent="0.25">
      <c r="A1410">
        <v>702</v>
      </c>
      <c r="B1410">
        <v>1788</v>
      </c>
      <c r="C1410" t="s">
        <v>2092</v>
      </c>
      <c r="D1410" t="s">
        <v>291</v>
      </c>
      <c r="E1410" t="s">
        <v>82</v>
      </c>
      <c r="F1410" t="s">
        <v>2093</v>
      </c>
      <c r="G1410" t="str">
        <f>"201412000735"</f>
        <v>201412000735</v>
      </c>
      <c r="H1410" t="s">
        <v>1725</v>
      </c>
      <c r="I1410">
        <v>150</v>
      </c>
      <c r="J1410">
        <v>30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35</v>
      </c>
      <c r="S1410">
        <v>245</v>
      </c>
      <c r="T1410">
        <v>0</v>
      </c>
      <c r="V1410">
        <v>0</v>
      </c>
      <c r="W1410" t="s">
        <v>2094</v>
      </c>
    </row>
    <row r="1411" spans="1:23" x14ac:dyDescent="0.25">
      <c r="H1411">
        <v>400</v>
      </c>
    </row>
    <row r="1412" spans="1:23" x14ac:dyDescent="0.25">
      <c r="A1412">
        <v>703</v>
      </c>
      <c r="B1412">
        <v>1385</v>
      </c>
      <c r="C1412" t="s">
        <v>2095</v>
      </c>
      <c r="D1412" t="s">
        <v>74</v>
      </c>
      <c r="E1412" t="s">
        <v>71</v>
      </c>
      <c r="F1412" t="s">
        <v>2096</v>
      </c>
      <c r="G1412" t="str">
        <f>"201506004298"</f>
        <v>201506004298</v>
      </c>
      <c r="H1412">
        <v>737</v>
      </c>
      <c r="I1412">
        <v>0</v>
      </c>
      <c r="J1412">
        <v>30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41</v>
      </c>
      <c r="S1412">
        <v>287</v>
      </c>
      <c r="T1412">
        <v>0</v>
      </c>
      <c r="V1412">
        <v>0</v>
      </c>
      <c r="W1412">
        <v>1054</v>
      </c>
    </row>
    <row r="1413" spans="1:23" x14ac:dyDescent="0.25">
      <c r="H1413">
        <v>400</v>
      </c>
    </row>
    <row r="1414" spans="1:23" x14ac:dyDescent="0.25">
      <c r="A1414">
        <v>704</v>
      </c>
      <c r="B1414">
        <v>1441</v>
      </c>
      <c r="C1414" t="s">
        <v>2097</v>
      </c>
      <c r="D1414" t="s">
        <v>220</v>
      </c>
      <c r="E1414" t="s">
        <v>15</v>
      </c>
      <c r="F1414" t="s">
        <v>2098</v>
      </c>
      <c r="G1414" t="str">
        <f>"200712003148"</f>
        <v>200712003148</v>
      </c>
      <c r="H1414" t="s">
        <v>2099</v>
      </c>
      <c r="I1414">
        <v>0</v>
      </c>
      <c r="J1414">
        <v>30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24</v>
      </c>
      <c r="S1414">
        <v>168</v>
      </c>
      <c r="T1414">
        <v>0</v>
      </c>
      <c r="V1414">
        <v>0</v>
      </c>
      <c r="W1414" t="s">
        <v>2100</v>
      </c>
    </row>
    <row r="1415" spans="1:23" x14ac:dyDescent="0.25">
      <c r="H1415">
        <v>400</v>
      </c>
    </row>
    <row r="1416" spans="1:23" x14ac:dyDescent="0.25">
      <c r="A1416">
        <v>705</v>
      </c>
      <c r="B1416">
        <v>1169</v>
      </c>
      <c r="C1416" t="s">
        <v>2101</v>
      </c>
      <c r="D1416" t="s">
        <v>157</v>
      </c>
      <c r="E1416" t="s">
        <v>1858</v>
      </c>
      <c r="F1416" t="s">
        <v>2102</v>
      </c>
      <c r="G1416" t="str">
        <f>"201504000439"</f>
        <v>201504000439</v>
      </c>
      <c r="H1416" t="s">
        <v>174</v>
      </c>
      <c r="I1416">
        <v>0</v>
      </c>
      <c r="J1416">
        <v>50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4</v>
      </c>
      <c r="S1416">
        <v>28</v>
      </c>
      <c r="T1416">
        <v>0</v>
      </c>
      <c r="V1416">
        <v>0</v>
      </c>
      <c r="W1416" t="s">
        <v>2103</v>
      </c>
    </row>
    <row r="1417" spans="1:23" x14ac:dyDescent="0.25">
      <c r="H1417">
        <v>400</v>
      </c>
    </row>
    <row r="1418" spans="1:23" x14ac:dyDescent="0.25">
      <c r="A1418">
        <v>706</v>
      </c>
      <c r="B1418">
        <v>1787</v>
      </c>
      <c r="C1418" t="s">
        <v>2104</v>
      </c>
      <c r="D1418" t="s">
        <v>1045</v>
      </c>
      <c r="E1418" t="s">
        <v>15</v>
      </c>
      <c r="F1418" t="s">
        <v>2105</v>
      </c>
      <c r="G1418" t="str">
        <f>"00215703"</f>
        <v>00215703</v>
      </c>
      <c r="H1418">
        <v>990</v>
      </c>
      <c r="I1418">
        <v>0</v>
      </c>
      <c r="J1418">
        <v>30</v>
      </c>
      <c r="K1418">
        <v>0</v>
      </c>
      <c r="L1418">
        <v>30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V1418">
        <v>0</v>
      </c>
      <c r="W1418">
        <v>1050</v>
      </c>
    </row>
    <row r="1419" spans="1:23" x14ac:dyDescent="0.25">
      <c r="H1419">
        <v>400</v>
      </c>
    </row>
    <row r="1420" spans="1:23" x14ac:dyDescent="0.25">
      <c r="A1420">
        <v>707</v>
      </c>
      <c r="B1420">
        <v>264</v>
      </c>
      <c r="C1420" t="s">
        <v>2106</v>
      </c>
      <c r="D1420" t="s">
        <v>552</v>
      </c>
      <c r="E1420" t="s">
        <v>209</v>
      </c>
      <c r="F1420" t="s">
        <v>2107</v>
      </c>
      <c r="G1420" t="str">
        <f>"00214729"</f>
        <v>00214729</v>
      </c>
      <c r="H1420" t="s">
        <v>108</v>
      </c>
      <c r="I1420">
        <v>0</v>
      </c>
      <c r="J1420">
        <v>30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V1420">
        <v>0</v>
      </c>
      <c r="W1420" t="s">
        <v>2108</v>
      </c>
    </row>
    <row r="1421" spans="1:23" x14ac:dyDescent="0.25">
      <c r="H1421">
        <v>400</v>
      </c>
    </row>
    <row r="1422" spans="1:23" x14ac:dyDescent="0.25">
      <c r="A1422">
        <v>708</v>
      </c>
      <c r="B1422">
        <v>965</v>
      </c>
      <c r="C1422" t="s">
        <v>2109</v>
      </c>
      <c r="D1422" t="s">
        <v>177</v>
      </c>
      <c r="E1422" t="s">
        <v>828</v>
      </c>
      <c r="F1422" t="s">
        <v>2110</v>
      </c>
      <c r="G1422" t="str">
        <f>"00150904"</f>
        <v>00150904</v>
      </c>
      <c r="H1422">
        <v>979</v>
      </c>
      <c r="I1422">
        <v>0</v>
      </c>
      <c r="J1422">
        <v>70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V1422">
        <v>0</v>
      </c>
      <c r="W1422">
        <v>1049</v>
      </c>
    </row>
    <row r="1423" spans="1:23" x14ac:dyDescent="0.25">
      <c r="H1423">
        <v>400</v>
      </c>
    </row>
    <row r="1424" spans="1:23" x14ac:dyDescent="0.25">
      <c r="A1424">
        <v>709</v>
      </c>
      <c r="B1424">
        <v>1853</v>
      </c>
      <c r="C1424" t="s">
        <v>2111</v>
      </c>
      <c r="D1424" t="s">
        <v>1180</v>
      </c>
      <c r="E1424" t="s">
        <v>27</v>
      </c>
      <c r="F1424" t="s">
        <v>2112</v>
      </c>
      <c r="G1424" t="str">
        <f>"00214529"</f>
        <v>00214529</v>
      </c>
      <c r="H1424">
        <v>935</v>
      </c>
      <c r="I1424">
        <v>0</v>
      </c>
      <c r="J1424">
        <v>0</v>
      </c>
      <c r="K1424">
        <v>30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12</v>
      </c>
      <c r="S1424">
        <v>84</v>
      </c>
      <c r="T1424">
        <v>0</v>
      </c>
      <c r="V1424">
        <v>0</v>
      </c>
      <c r="W1424">
        <v>1049</v>
      </c>
    </row>
    <row r="1425" spans="1:23" x14ac:dyDescent="0.25">
      <c r="H1425">
        <v>400</v>
      </c>
    </row>
    <row r="1426" spans="1:23" x14ac:dyDescent="0.25">
      <c r="A1426">
        <v>710</v>
      </c>
      <c r="B1426">
        <v>569</v>
      </c>
      <c r="C1426" t="s">
        <v>2113</v>
      </c>
      <c r="D1426" t="s">
        <v>2114</v>
      </c>
      <c r="E1426" t="s">
        <v>2115</v>
      </c>
      <c r="F1426" t="s">
        <v>2116</v>
      </c>
      <c r="G1426" t="str">
        <f>"00215670"</f>
        <v>00215670</v>
      </c>
      <c r="H1426">
        <v>759</v>
      </c>
      <c r="I1426">
        <v>150</v>
      </c>
      <c r="J1426">
        <v>70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10</v>
      </c>
      <c r="S1426">
        <v>70</v>
      </c>
      <c r="T1426">
        <v>0</v>
      </c>
      <c r="V1426">
        <v>0</v>
      </c>
      <c r="W1426">
        <v>1049</v>
      </c>
    </row>
    <row r="1427" spans="1:23" x14ac:dyDescent="0.25">
      <c r="H1427">
        <v>400</v>
      </c>
    </row>
    <row r="1428" spans="1:23" x14ac:dyDescent="0.25">
      <c r="A1428">
        <v>711</v>
      </c>
      <c r="B1428">
        <v>1924</v>
      </c>
      <c r="C1428" t="s">
        <v>2117</v>
      </c>
      <c r="D1428" t="s">
        <v>2118</v>
      </c>
      <c r="E1428" t="s">
        <v>200</v>
      </c>
      <c r="F1428" t="s">
        <v>2119</v>
      </c>
      <c r="G1428" t="str">
        <f>"00199889"</f>
        <v>00199889</v>
      </c>
      <c r="H1428" t="s">
        <v>1317</v>
      </c>
      <c r="I1428">
        <v>0</v>
      </c>
      <c r="J1428">
        <v>30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41</v>
      </c>
      <c r="S1428">
        <v>287</v>
      </c>
      <c r="T1428">
        <v>0</v>
      </c>
      <c r="V1428">
        <v>0</v>
      </c>
      <c r="W1428" t="s">
        <v>2120</v>
      </c>
    </row>
    <row r="1429" spans="1:23" x14ac:dyDescent="0.25">
      <c r="H1429">
        <v>400</v>
      </c>
    </row>
    <row r="1430" spans="1:23" x14ac:dyDescent="0.25">
      <c r="A1430">
        <v>712</v>
      </c>
      <c r="B1430">
        <v>1514</v>
      </c>
      <c r="C1430" t="s">
        <v>2121</v>
      </c>
      <c r="D1430" t="s">
        <v>2122</v>
      </c>
      <c r="E1430" t="s">
        <v>408</v>
      </c>
      <c r="F1430" t="s">
        <v>2123</v>
      </c>
      <c r="G1430" t="str">
        <f>"201402009557"</f>
        <v>201402009557</v>
      </c>
      <c r="H1430" t="s">
        <v>2124</v>
      </c>
      <c r="I1430">
        <v>150</v>
      </c>
      <c r="J1430">
        <v>30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32</v>
      </c>
      <c r="S1430">
        <v>224</v>
      </c>
      <c r="T1430">
        <v>0</v>
      </c>
      <c r="V1430">
        <v>0</v>
      </c>
      <c r="W1430" t="s">
        <v>2125</v>
      </c>
    </row>
    <row r="1431" spans="1:23" x14ac:dyDescent="0.25">
      <c r="H1431">
        <v>400</v>
      </c>
    </row>
    <row r="1432" spans="1:23" x14ac:dyDescent="0.25">
      <c r="A1432">
        <v>713</v>
      </c>
      <c r="B1432">
        <v>521</v>
      </c>
      <c r="C1432" t="s">
        <v>2126</v>
      </c>
      <c r="D1432" t="s">
        <v>177</v>
      </c>
      <c r="E1432" t="s">
        <v>154</v>
      </c>
      <c r="F1432" t="s">
        <v>2127</v>
      </c>
      <c r="G1432" t="str">
        <f>"201504001598"</f>
        <v>201504001598</v>
      </c>
      <c r="H1432">
        <v>825</v>
      </c>
      <c r="I1432">
        <v>150</v>
      </c>
      <c r="J1432">
        <v>30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6</v>
      </c>
      <c r="S1432">
        <v>42</v>
      </c>
      <c r="T1432">
        <v>0</v>
      </c>
      <c r="V1432">
        <v>0</v>
      </c>
      <c r="W1432">
        <v>1047</v>
      </c>
    </row>
    <row r="1433" spans="1:23" x14ac:dyDescent="0.25">
      <c r="H1433">
        <v>400</v>
      </c>
    </row>
    <row r="1434" spans="1:23" x14ac:dyDescent="0.25">
      <c r="A1434">
        <v>714</v>
      </c>
      <c r="B1434">
        <v>325</v>
      </c>
      <c r="C1434" t="s">
        <v>2128</v>
      </c>
      <c r="D1434" t="s">
        <v>125</v>
      </c>
      <c r="E1434" t="s">
        <v>59</v>
      </c>
      <c r="F1434" t="s">
        <v>2129</v>
      </c>
      <c r="G1434" t="str">
        <f>"201412001419"</f>
        <v>201412001419</v>
      </c>
      <c r="H1434">
        <v>781</v>
      </c>
      <c r="I1434">
        <v>0</v>
      </c>
      <c r="J1434">
        <v>70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28</v>
      </c>
      <c r="S1434">
        <v>196</v>
      </c>
      <c r="T1434">
        <v>0</v>
      </c>
      <c r="V1434">
        <v>0</v>
      </c>
      <c r="W1434">
        <v>1047</v>
      </c>
    </row>
    <row r="1435" spans="1:23" x14ac:dyDescent="0.25">
      <c r="H1435">
        <v>400</v>
      </c>
    </row>
    <row r="1436" spans="1:23" x14ac:dyDescent="0.25">
      <c r="A1436">
        <v>715</v>
      </c>
      <c r="B1436">
        <v>893</v>
      </c>
      <c r="C1436" t="s">
        <v>2130</v>
      </c>
      <c r="D1436" t="s">
        <v>2131</v>
      </c>
      <c r="E1436" t="s">
        <v>33</v>
      </c>
      <c r="F1436" t="s">
        <v>2132</v>
      </c>
      <c r="G1436" t="str">
        <f>"00213448"</f>
        <v>00213448</v>
      </c>
      <c r="H1436" t="s">
        <v>352</v>
      </c>
      <c r="I1436">
        <v>0</v>
      </c>
      <c r="J1436">
        <v>30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31</v>
      </c>
      <c r="S1436">
        <v>217</v>
      </c>
      <c r="T1436">
        <v>0</v>
      </c>
      <c r="V1436">
        <v>0</v>
      </c>
      <c r="W1436" t="s">
        <v>2133</v>
      </c>
    </row>
    <row r="1437" spans="1:23" x14ac:dyDescent="0.25">
      <c r="H1437">
        <v>400</v>
      </c>
    </row>
    <row r="1438" spans="1:23" x14ac:dyDescent="0.25">
      <c r="A1438">
        <v>716</v>
      </c>
      <c r="B1438">
        <v>1155</v>
      </c>
      <c r="C1438" t="s">
        <v>2134</v>
      </c>
      <c r="D1438" t="s">
        <v>97</v>
      </c>
      <c r="E1438" t="s">
        <v>49</v>
      </c>
      <c r="F1438" t="s">
        <v>2135</v>
      </c>
      <c r="G1438" t="str">
        <f>"00155923"</f>
        <v>00155923</v>
      </c>
      <c r="H1438" t="s">
        <v>694</v>
      </c>
      <c r="I1438">
        <v>0</v>
      </c>
      <c r="J1438">
        <v>30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26</v>
      </c>
      <c r="S1438">
        <v>182</v>
      </c>
      <c r="T1438">
        <v>0</v>
      </c>
      <c r="V1438">
        <v>0</v>
      </c>
      <c r="W1438" t="s">
        <v>2136</v>
      </c>
    </row>
    <row r="1439" spans="1:23" x14ac:dyDescent="0.25">
      <c r="H1439">
        <v>400</v>
      </c>
    </row>
    <row r="1440" spans="1:23" x14ac:dyDescent="0.25">
      <c r="A1440">
        <v>717</v>
      </c>
      <c r="B1440">
        <v>141</v>
      </c>
      <c r="C1440" t="s">
        <v>2137</v>
      </c>
      <c r="D1440" t="s">
        <v>27</v>
      </c>
      <c r="E1440" t="s">
        <v>87</v>
      </c>
      <c r="F1440" t="s">
        <v>2138</v>
      </c>
      <c r="G1440" t="str">
        <f>"201406000543"</f>
        <v>201406000543</v>
      </c>
      <c r="H1440">
        <v>495</v>
      </c>
      <c r="I1440">
        <v>150</v>
      </c>
      <c r="J1440">
        <v>30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52</v>
      </c>
      <c r="S1440">
        <v>364</v>
      </c>
      <c r="T1440">
        <v>0</v>
      </c>
      <c r="V1440">
        <v>0</v>
      </c>
      <c r="W1440">
        <v>1039</v>
      </c>
    </row>
    <row r="1441" spans="1:23" x14ac:dyDescent="0.25">
      <c r="H1441">
        <v>400</v>
      </c>
    </row>
    <row r="1442" spans="1:23" x14ac:dyDescent="0.25">
      <c r="A1442">
        <v>718</v>
      </c>
      <c r="B1442">
        <v>1189</v>
      </c>
      <c r="C1442" t="s">
        <v>2139</v>
      </c>
      <c r="D1442" t="s">
        <v>177</v>
      </c>
      <c r="E1442" t="s">
        <v>27</v>
      </c>
      <c r="F1442" t="s">
        <v>2140</v>
      </c>
      <c r="G1442" t="str">
        <f>"201406018584"</f>
        <v>201406018584</v>
      </c>
      <c r="H1442">
        <v>968</v>
      </c>
      <c r="I1442">
        <v>0</v>
      </c>
      <c r="J1442">
        <v>70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V1442">
        <v>0</v>
      </c>
      <c r="W1442">
        <v>1038</v>
      </c>
    </row>
    <row r="1443" spans="1:23" x14ac:dyDescent="0.25">
      <c r="H1443">
        <v>400</v>
      </c>
    </row>
    <row r="1444" spans="1:23" x14ac:dyDescent="0.25">
      <c r="A1444">
        <v>719</v>
      </c>
      <c r="B1444">
        <v>620</v>
      </c>
      <c r="C1444" t="s">
        <v>2141</v>
      </c>
      <c r="D1444" t="s">
        <v>177</v>
      </c>
      <c r="E1444" t="s">
        <v>158</v>
      </c>
      <c r="F1444" t="s">
        <v>2142</v>
      </c>
      <c r="G1444" t="str">
        <f>"00213423"</f>
        <v>00213423</v>
      </c>
      <c r="H1444">
        <v>968</v>
      </c>
      <c r="I1444">
        <v>0</v>
      </c>
      <c r="J1444">
        <v>70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V1444">
        <v>1</v>
      </c>
      <c r="W1444">
        <v>1038</v>
      </c>
    </row>
    <row r="1445" spans="1:23" x14ac:dyDescent="0.25">
      <c r="H1445">
        <v>400</v>
      </c>
    </row>
    <row r="1446" spans="1:23" x14ac:dyDescent="0.25">
      <c r="A1446">
        <v>720</v>
      </c>
      <c r="B1446">
        <v>1813</v>
      </c>
      <c r="C1446" t="s">
        <v>2143</v>
      </c>
      <c r="D1446" t="s">
        <v>1338</v>
      </c>
      <c r="E1446" t="s">
        <v>942</v>
      </c>
      <c r="F1446" t="s">
        <v>2144</v>
      </c>
      <c r="G1446" t="str">
        <f>"201511032384"</f>
        <v>201511032384</v>
      </c>
      <c r="H1446">
        <v>869</v>
      </c>
      <c r="I1446">
        <v>0</v>
      </c>
      <c r="J1446">
        <v>50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17</v>
      </c>
      <c r="S1446">
        <v>119</v>
      </c>
      <c r="T1446">
        <v>0</v>
      </c>
      <c r="V1446">
        <v>0</v>
      </c>
      <c r="W1446">
        <v>1038</v>
      </c>
    </row>
    <row r="1447" spans="1:23" x14ac:dyDescent="0.25">
      <c r="H1447">
        <v>400</v>
      </c>
    </row>
    <row r="1448" spans="1:23" x14ac:dyDescent="0.25">
      <c r="A1448">
        <v>721</v>
      </c>
      <c r="B1448">
        <v>1705</v>
      </c>
      <c r="C1448" t="s">
        <v>2145</v>
      </c>
      <c r="D1448" t="s">
        <v>2146</v>
      </c>
      <c r="E1448" t="s">
        <v>2147</v>
      </c>
      <c r="F1448" t="s">
        <v>2148</v>
      </c>
      <c r="G1448" t="str">
        <f>"00216388"</f>
        <v>00216388</v>
      </c>
      <c r="H1448" t="s">
        <v>410</v>
      </c>
      <c r="I1448">
        <v>0</v>
      </c>
      <c r="J1448">
        <v>30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3</v>
      </c>
      <c r="S1448">
        <v>21</v>
      </c>
      <c r="T1448">
        <v>0</v>
      </c>
      <c r="V1448">
        <v>0</v>
      </c>
      <c r="W1448" t="s">
        <v>2149</v>
      </c>
    </row>
    <row r="1449" spans="1:23" x14ac:dyDescent="0.25">
      <c r="H1449">
        <v>400</v>
      </c>
    </row>
    <row r="1450" spans="1:23" x14ac:dyDescent="0.25">
      <c r="A1450">
        <v>722</v>
      </c>
      <c r="B1450">
        <v>550</v>
      </c>
      <c r="C1450" t="s">
        <v>2150</v>
      </c>
      <c r="D1450" t="s">
        <v>180</v>
      </c>
      <c r="E1450" t="s">
        <v>2151</v>
      </c>
      <c r="F1450" t="s">
        <v>2152</v>
      </c>
      <c r="G1450" t="str">
        <f>"201506004122"</f>
        <v>201506004122</v>
      </c>
      <c r="H1450">
        <v>825</v>
      </c>
      <c r="I1450">
        <v>150</v>
      </c>
      <c r="J1450">
        <v>30</v>
      </c>
      <c r="K1450">
        <v>30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V1450">
        <v>0</v>
      </c>
      <c r="W1450">
        <v>1035</v>
      </c>
    </row>
    <row r="1451" spans="1:23" x14ac:dyDescent="0.25">
      <c r="H1451">
        <v>400</v>
      </c>
    </row>
    <row r="1452" spans="1:23" x14ac:dyDescent="0.25">
      <c r="A1452">
        <v>723</v>
      </c>
      <c r="B1452">
        <v>236</v>
      </c>
      <c r="C1452" t="s">
        <v>2153</v>
      </c>
      <c r="D1452" t="s">
        <v>2154</v>
      </c>
      <c r="E1452" t="s">
        <v>209</v>
      </c>
      <c r="F1452" t="s">
        <v>2155</v>
      </c>
      <c r="G1452" t="str">
        <f>"00191931"</f>
        <v>00191931</v>
      </c>
      <c r="H1452">
        <v>1001</v>
      </c>
      <c r="I1452">
        <v>0</v>
      </c>
      <c r="J1452">
        <v>30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V1452">
        <v>0</v>
      </c>
      <c r="W1452">
        <v>1031</v>
      </c>
    </row>
    <row r="1453" spans="1:23" x14ac:dyDescent="0.25">
      <c r="H1453">
        <v>400</v>
      </c>
    </row>
    <row r="1454" spans="1:23" x14ac:dyDescent="0.25">
      <c r="A1454">
        <v>724</v>
      </c>
      <c r="B1454">
        <v>1690</v>
      </c>
      <c r="C1454" t="s">
        <v>1123</v>
      </c>
      <c r="D1454" t="s">
        <v>177</v>
      </c>
      <c r="E1454" t="s">
        <v>21</v>
      </c>
      <c r="F1454" t="s">
        <v>2156</v>
      </c>
      <c r="G1454" t="str">
        <f>"00212921"</f>
        <v>00212921</v>
      </c>
      <c r="H1454">
        <v>979</v>
      </c>
      <c r="I1454">
        <v>0</v>
      </c>
      <c r="J1454">
        <v>50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V1454">
        <v>1</v>
      </c>
      <c r="W1454">
        <v>1029</v>
      </c>
    </row>
    <row r="1455" spans="1:23" x14ac:dyDescent="0.25">
      <c r="H1455">
        <v>400</v>
      </c>
    </row>
    <row r="1456" spans="1:23" x14ac:dyDescent="0.25">
      <c r="A1456">
        <v>725</v>
      </c>
      <c r="B1456">
        <v>546</v>
      </c>
      <c r="C1456" t="s">
        <v>2157</v>
      </c>
      <c r="D1456" t="s">
        <v>209</v>
      </c>
      <c r="E1456" t="s">
        <v>21</v>
      </c>
      <c r="F1456" t="s">
        <v>2158</v>
      </c>
      <c r="G1456" t="str">
        <f>"201604000557"</f>
        <v>201604000557</v>
      </c>
      <c r="H1456">
        <v>583</v>
      </c>
      <c r="I1456">
        <v>150</v>
      </c>
      <c r="J1456">
        <v>30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38</v>
      </c>
      <c r="S1456">
        <v>266</v>
      </c>
      <c r="T1456">
        <v>0</v>
      </c>
      <c r="V1456">
        <v>0</v>
      </c>
      <c r="W1456">
        <v>1029</v>
      </c>
    </row>
    <row r="1457" spans="1:23" x14ac:dyDescent="0.25">
      <c r="H1457">
        <v>400</v>
      </c>
    </row>
    <row r="1458" spans="1:23" x14ac:dyDescent="0.25">
      <c r="A1458">
        <v>726</v>
      </c>
      <c r="B1458">
        <v>888</v>
      </c>
      <c r="C1458" t="s">
        <v>2159</v>
      </c>
      <c r="D1458" t="s">
        <v>241</v>
      </c>
      <c r="E1458" t="s">
        <v>15</v>
      </c>
      <c r="F1458" t="s">
        <v>2160</v>
      </c>
      <c r="G1458" t="str">
        <f>"00216951"</f>
        <v>00216951</v>
      </c>
      <c r="H1458">
        <v>781</v>
      </c>
      <c r="I1458">
        <v>0</v>
      </c>
      <c r="J1458">
        <v>30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31</v>
      </c>
      <c r="S1458">
        <v>217</v>
      </c>
      <c r="T1458">
        <v>0</v>
      </c>
      <c r="V1458">
        <v>0</v>
      </c>
      <c r="W1458">
        <v>1028</v>
      </c>
    </row>
    <row r="1459" spans="1:23" x14ac:dyDescent="0.25">
      <c r="H1459" t="s">
        <v>76</v>
      </c>
    </row>
    <row r="1460" spans="1:23" x14ac:dyDescent="0.25">
      <c r="A1460">
        <v>727</v>
      </c>
      <c r="B1460">
        <v>435</v>
      </c>
      <c r="C1460" t="s">
        <v>2161</v>
      </c>
      <c r="D1460" t="s">
        <v>839</v>
      </c>
      <c r="E1460" t="s">
        <v>859</v>
      </c>
      <c r="F1460" t="s">
        <v>2162</v>
      </c>
      <c r="G1460" t="str">
        <f>"00215208"</f>
        <v>00215208</v>
      </c>
      <c r="H1460">
        <v>825</v>
      </c>
      <c r="I1460">
        <v>150</v>
      </c>
      <c r="J1460">
        <v>50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V1460">
        <v>0</v>
      </c>
      <c r="W1460">
        <v>1025</v>
      </c>
    </row>
    <row r="1461" spans="1:23" x14ac:dyDescent="0.25">
      <c r="H1461">
        <v>400</v>
      </c>
    </row>
    <row r="1462" spans="1:23" x14ac:dyDescent="0.25">
      <c r="A1462">
        <v>728</v>
      </c>
      <c r="B1462">
        <v>1438</v>
      </c>
      <c r="C1462" t="s">
        <v>2163</v>
      </c>
      <c r="D1462" t="s">
        <v>820</v>
      </c>
      <c r="E1462" t="s">
        <v>144</v>
      </c>
      <c r="F1462" t="s">
        <v>2164</v>
      </c>
      <c r="G1462" t="str">
        <f>"201512001688"</f>
        <v>201512001688</v>
      </c>
      <c r="H1462">
        <v>737</v>
      </c>
      <c r="I1462">
        <v>0</v>
      </c>
      <c r="J1462">
        <v>50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34</v>
      </c>
      <c r="S1462">
        <v>238</v>
      </c>
      <c r="T1462">
        <v>0</v>
      </c>
      <c r="V1462">
        <v>0</v>
      </c>
      <c r="W1462">
        <v>1025</v>
      </c>
    </row>
    <row r="1463" spans="1:23" x14ac:dyDescent="0.25">
      <c r="H1463">
        <v>400</v>
      </c>
    </row>
    <row r="1464" spans="1:23" x14ac:dyDescent="0.25">
      <c r="A1464">
        <v>729</v>
      </c>
      <c r="B1464">
        <v>23</v>
      </c>
      <c r="C1464" t="s">
        <v>2165</v>
      </c>
      <c r="D1464" t="s">
        <v>106</v>
      </c>
      <c r="E1464" t="s">
        <v>27</v>
      </c>
      <c r="F1464" t="s">
        <v>2166</v>
      </c>
      <c r="G1464" t="str">
        <f>"201507000335"</f>
        <v>201507000335</v>
      </c>
      <c r="H1464" t="s">
        <v>2167</v>
      </c>
      <c r="I1464">
        <v>0</v>
      </c>
      <c r="J1464">
        <v>70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V1464">
        <v>0</v>
      </c>
      <c r="W1464" t="s">
        <v>2168</v>
      </c>
    </row>
    <row r="1465" spans="1:23" x14ac:dyDescent="0.25">
      <c r="H1465">
        <v>400</v>
      </c>
    </row>
    <row r="1466" spans="1:23" x14ac:dyDescent="0.25">
      <c r="A1466">
        <v>730</v>
      </c>
      <c r="B1466">
        <v>1463</v>
      </c>
      <c r="C1466" t="s">
        <v>629</v>
      </c>
      <c r="D1466" t="s">
        <v>2169</v>
      </c>
      <c r="E1466" t="s">
        <v>15</v>
      </c>
      <c r="F1466" t="s">
        <v>2170</v>
      </c>
      <c r="G1466" t="str">
        <f>"201406003434"</f>
        <v>201406003434</v>
      </c>
      <c r="H1466" t="s">
        <v>2171</v>
      </c>
      <c r="I1466">
        <v>150</v>
      </c>
      <c r="J1466">
        <v>30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46</v>
      </c>
      <c r="S1466">
        <v>322</v>
      </c>
      <c r="T1466">
        <v>0</v>
      </c>
      <c r="V1466">
        <v>0</v>
      </c>
      <c r="W1466" t="s">
        <v>2172</v>
      </c>
    </row>
    <row r="1467" spans="1:23" x14ac:dyDescent="0.25">
      <c r="H1467">
        <v>400</v>
      </c>
    </row>
    <row r="1468" spans="1:23" x14ac:dyDescent="0.25">
      <c r="A1468">
        <v>731</v>
      </c>
      <c r="B1468">
        <v>656</v>
      </c>
      <c r="C1468" t="s">
        <v>2173</v>
      </c>
      <c r="D1468" t="s">
        <v>39</v>
      </c>
      <c r="E1468" t="s">
        <v>408</v>
      </c>
      <c r="F1468" t="s">
        <v>2174</v>
      </c>
      <c r="G1468" t="str">
        <f>"201402009339"</f>
        <v>201402009339</v>
      </c>
      <c r="H1468">
        <v>770</v>
      </c>
      <c r="I1468">
        <v>0</v>
      </c>
      <c r="J1468">
        <v>30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32</v>
      </c>
      <c r="S1468">
        <v>224</v>
      </c>
      <c r="T1468">
        <v>0</v>
      </c>
      <c r="V1468">
        <v>0</v>
      </c>
      <c r="W1468">
        <v>1024</v>
      </c>
    </row>
    <row r="1469" spans="1:23" x14ac:dyDescent="0.25">
      <c r="H1469">
        <v>400</v>
      </c>
    </row>
    <row r="1470" spans="1:23" x14ac:dyDescent="0.25">
      <c r="A1470">
        <v>732</v>
      </c>
      <c r="B1470">
        <v>107</v>
      </c>
      <c r="C1470" t="s">
        <v>2175</v>
      </c>
      <c r="D1470" t="s">
        <v>2176</v>
      </c>
      <c r="E1470" t="s">
        <v>71</v>
      </c>
      <c r="F1470" t="s">
        <v>2177</v>
      </c>
      <c r="G1470" t="str">
        <f>"00122372"</f>
        <v>00122372</v>
      </c>
      <c r="H1470">
        <v>825</v>
      </c>
      <c r="I1470">
        <v>0</v>
      </c>
      <c r="J1470">
        <v>70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50</v>
      </c>
      <c r="Q1470">
        <v>0</v>
      </c>
      <c r="R1470">
        <v>11</v>
      </c>
      <c r="S1470">
        <v>77</v>
      </c>
      <c r="T1470">
        <v>0</v>
      </c>
      <c r="V1470">
        <v>0</v>
      </c>
      <c r="W1470">
        <v>1022</v>
      </c>
    </row>
    <row r="1471" spans="1:23" x14ac:dyDescent="0.25">
      <c r="H1471">
        <v>400</v>
      </c>
    </row>
    <row r="1472" spans="1:23" x14ac:dyDescent="0.25">
      <c r="A1472">
        <v>733</v>
      </c>
      <c r="B1472">
        <v>972</v>
      </c>
      <c r="C1472" t="s">
        <v>2178</v>
      </c>
      <c r="D1472" t="s">
        <v>2179</v>
      </c>
      <c r="E1472" t="s">
        <v>87</v>
      </c>
      <c r="F1472" t="s">
        <v>2180</v>
      </c>
      <c r="G1472" t="str">
        <f>"00118562"</f>
        <v>00118562</v>
      </c>
      <c r="H1472">
        <v>825</v>
      </c>
      <c r="I1472">
        <v>0</v>
      </c>
      <c r="J1472">
        <v>50</v>
      </c>
      <c r="K1472">
        <v>70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11</v>
      </c>
      <c r="S1472">
        <v>77</v>
      </c>
      <c r="T1472">
        <v>0</v>
      </c>
      <c r="V1472">
        <v>0</v>
      </c>
      <c r="W1472">
        <v>1022</v>
      </c>
    </row>
    <row r="1473" spans="1:23" x14ac:dyDescent="0.25">
      <c r="H1473" t="s">
        <v>76</v>
      </c>
    </row>
    <row r="1474" spans="1:23" x14ac:dyDescent="0.25">
      <c r="A1474">
        <v>734</v>
      </c>
      <c r="B1474">
        <v>240</v>
      </c>
      <c r="C1474" t="s">
        <v>2181</v>
      </c>
      <c r="D1474" t="s">
        <v>74</v>
      </c>
      <c r="E1474" t="s">
        <v>71</v>
      </c>
      <c r="F1474" t="s">
        <v>2182</v>
      </c>
      <c r="G1474" t="str">
        <f>"201406003341"</f>
        <v>201406003341</v>
      </c>
      <c r="H1474">
        <v>858</v>
      </c>
      <c r="I1474">
        <v>0</v>
      </c>
      <c r="J1474">
        <v>50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16</v>
      </c>
      <c r="S1474">
        <v>112</v>
      </c>
      <c r="T1474">
        <v>0</v>
      </c>
      <c r="V1474">
        <v>0</v>
      </c>
      <c r="W1474">
        <v>1020</v>
      </c>
    </row>
    <row r="1475" spans="1:23" x14ac:dyDescent="0.25">
      <c r="H1475">
        <v>400</v>
      </c>
    </row>
    <row r="1476" spans="1:23" x14ac:dyDescent="0.25">
      <c r="A1476">
        <v>735</v>
      </c>
      <c r="B1476">
        <v>1198</v>
      </c>
      <c r="C1476" t="s">
        <v>2183</v>
      </c>
      <c r="D1476" t="s">
        <v>2184</v>
      </c>
      <c r="E1476" t="s">
        <v>27</v>
      </c>
      <c r="F1476" t="s">
        <v>2185</v>
      </c>
      <c r="G1476" t="str">
        <f>"00080428"</f>
        <v>00080428</v>
      </c>
      <c r="H1476">
        <v>605</v>
      </c>
      <c r="I1476">
        <v>0</v>
      </c>
      <c r="J1476">
        <v>30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55</v>
      </c>
      <c r="S1476">
        <v>385</v>
      </c>
      <c r="T1476">
        <v>0</v>
      </c>
      <c r="V1476">
        <v>2</v>
      </c>
      <c r="W1476">
        <v>1020</v>
      </c>
    </row>
    <row r="1477" spans="1:23" x14ac:dyDescent="0.25">
      <c r="H1477">
        <v>400</v>
      </c>
    </row>
    <row r="1478" spans="1:23" x14ac:dyDescent="0.25">
      <c r="A1478">
        <v>736</v>
      </c>
      <c r="B1478">
        <v>100</v>
      </c>
      <c r="C1478" t="s">
        <v>2186</v>
      </c>
      <c r="D1478" t="s">
        <v>1495</v>
      </c>
      <c r="E1478" t="s">
        <v>27</v>
      </c>
      <c r="F1478" t="s">
        <v>2187</v>
      </c>
      <c r="G1478" t="str">
        <f>"00217742"</f>
        <v>00217742</v>
      </c>
      <c r="H1478">
        <v>869</v>
      </c>
      <c r="I1478">
        <v>0</v>
      </c>
      <c r="J1478">
        <v>30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17</v>
      </c>
      <c r="S1478">
        <v>119</v>
      </c>
      <c r="T1478">
        <v>0</v>
      </c>
      <c r="V1478">
        <v>1</v>
      </c>
      <c r="W1478">
        <v>1018</v>
      </c>
    </row>
    <row r="1479" spans="1:23" x14ac:dyDescent="0.25">
      <c r="H1479">
        <v>400</v>
      </c>
    </row>
    <row r="1480" spans="1:23" x14ac:dyDescent="0.25">
      <c r="A1480">
        <v>737</v>
      </c>
      <c r="B1480">
        <v>1650</v>
      </c>
      <c r="C1480" t="s">
        <v>2188</v>
      </c>
      <c r="D1480" t="s">
        <v>2189</v>
      </c>
      <c r="E1480" t="s">
        <v>21</v>
      </c>
      <c r="F1480" t="s">
        <v>2190</v>
      </c>
      <c r="G1480" t="str">
        <f>"201511024616"</f>
        <v>201511024616</v>
      </c>
      <c r="H1480" t="s">
        <v>352</v>
      </c>
      <c r="I1480">
        <v>0</v>
      </c>
      <c r="J1480">
        <v>30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27</v>
      </c>
      <c r="S1480">
        <v>189</v>
      </c>
      <c r="T1480">
        <v>0</v>
      </c>
      <c r="V1480">
        <v>0</v>
      </c>
      <c r="W1480" t="s">
        <v>2191</v>
      </c>
    </row>
    <row r="1481" spans="1:23" x14ac:dyDescent="0.25">
      <c r="H1481">
        <v>400</v>
      </c>
    </row>
    <row r="1482" spans="1:23" x14ac:dyDescent="0.25">
      <c r="A1482">
        <v>738</v>
      </c>
      <c r="B1482">
        <v>935</v>
      </c>
      <c r="C1482" t="s">
        <v>2192</v>
      </c>
      <c r="D1482" t="s">
        <v>1297</v>
      </c>
      <c r="E1482" t="s">
        <v>163</v>
      </c>
      <c r="F1482" t="s">
        <v>2193</v>
      </c>
      <c r="G1482" t="str">
        <f>"00215080"</f>
        <v>00215080</v>
      </c>
      <c r="H1482">
        <v>946</v>
      </c>
      <c r="I1482">
        <v>0</v>
      </c>
      <c r="J1482">
        <v>70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V1482">
        <v>2</v>
      </c>
      <c r="W1482">
        <v>1016</v>
      </c>
    </row>
    <row r="1483" spans="1:23" x14ac:dyDescent="0.25">
      <c r="H1483" t="s">
        <v>855</v>
      </c>
    </row>
    <row r="1484" spans="1:23" x14ac:dyDescent="0.25">
      <c r="A1484">
        <v>739</v>
      </c>
      <c r="B1484">
        <v>1284</v>
      </c>
      <c r="C1484" t="s">
        <v>2194</v>
      </c>
      <c r="D1484" t="s">
        <v>209</v>
      </c>
      <c r="E1484" t="s">
        <v>263</v>
      </c>
      <c r="F1484" t="s">
        <v>2195</v>
      </c>
      <c r="G1484" t="str">
        <f>"00189269"</f>
        <v>00189269</v>
      </c>
      <c r="H1484" t="s">
        <v>410</v>
      </c>
      <c r="I1484">
        <v>0</v>
      </c>
      <c r="J1484">
        <v>30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V1484">
        <v>0</v>
      </c>
      <c r="W1484" t="s">
        <v>2196</v>
      </c>
    </row>
    <row r="1485" spans="1:23" x14ac:dyDescent="0.25">
      <c r="H1485">
        <v>400</v>
      </c>
    </row>
    <row r="1486" spans="1:23" x14ac:dyDescent="0.25">
      <c r="A1486">
        <v>740</v>
      </c>
      <c r="B1486">
        <v>470</v>
      </c>
      <c r="C1486" t="s">
        <v>2197</v>
      </c>
      <c r="D1486" t="s">
        <v>2198</v>
      </c>
      <c r="E1486" t="s">
        <v>2199</v>
      </c>
      <c r="F1486" t="s">
        <v>2200</v>
      </c>
      <c r="G1486" t="str">
        <f>"00217963"</f>
        <v>00217963</v>
      </c>
      <c r="H1486" t="s">
        <v>410</v>
      </c>
      <c r="I1486">
        <v>0</v>
      </c>
      <c r="J1486">
        <v>30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V1486">
        <v>2</v>
      </c>
      <c r="W1486" t="s">
        <v>2196</v>
      </c>
    </row>
    <row r="1487" spans="1:23" x14ac:dyDescent="0.25">
      <c r="H1487">
        <v>400</v>
      </c>
    </row>
    <row r="1488" spans="1:23" x14ac:dyDescent="0.25">
      <c r="A1488">
        <v>741</v>
      </c>
      <c r="B1488">
        <v>884</v>
      </c>
      <c r="C1488" t="s">
        <v>844</v>
      </c>
      <c r="D1488" t="s">
        <v>241</v>
      </c>
      <c r="E1488" t="s">
        <v>15</v>
      </c>
      <c r="F1488" t="s">
        <v>2201</v>
      </c>
      <c r="G1488" t="str">
        <f>"00038971"</f>
        <v>00038971</v>
      </c>
      <c r="H1488" t="s">
        <v>356</v>
      </c>
      <c r="I1488">
        <v>0</v>
      </c>
      <c r="J1488">
        <v>30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28</v>
      </c>
      <c r="S1488">
        <v>196</v>
      </c>
      <c r="T1488">
        <v>0</v>
      </c>
      <c r="V1488">
        <v>0</v>
      </c>
      <c r="W1488" t="s">
        <v>2202</v>
      </c>
    </row>
    <row r="1489" spans="1:23" x14ac:dyDescent="0.25">
      <c r="H1489">
        <v>400</v>
      </c>
    </row>
    <row r="1490" spans="1:23" x14ac:dyDescent="0.25">
      <c r="A1490">
        <v>742</v>
      </c>
      <c r="B1490">
        <v>1116</v>
      </c>
      <c r="C1490" t="s">
        <v>1341</v>
      </c>
      <c r="D1490" t="s">
        <v>573</v>
      </c>
      <c r="E1490" t="s">
        <v>299</v>
      </c>
      <c r="F1490" t="s">
        <v>2203</v>
      </c>
      <c r="G1490" t="str">
        <f>"00217814"</f>
        <v>00217814</v>
      </c>
      <c r="H1490" t="s">
        <v>352</v>
      </c>
      <c r="I1490">
        <v>0</v>
      </c>
      <c r="J1490">
        <v>30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26</v>
      </c>
      <c r="S1490">
        <v>182</v>
      </c>
      <c r="T1490">
        <v>0</v>
      </c>
      <c r="V1490">
        <v>0</v>
      </c>
      <c r="W1490" t="s">
        <v>2204</v>
      </c>
    </row>
    <row r="1491" spans="1:23" x14ac:dyDescent="0.25">
      <c r="H1491">
        <v>400</v>
      </c>
    </row>
    <row r="1492" spans="1:23" x14ac:dyDescent="0.25">
      <c r="A1492">
        <v>743</v>
      </c>
      <c r="B1492">
        <v>1435</v>
      </c>
      <c r="C1492" t="s">
        <v>1796</v>
      </c>
      <c r="D1492" t="s">
        <v>131</v>
      </c>
      <c r="E1492" t="s">
        <v>209</v>
      </c>
      <c r="F1492" t="s">
        <v>2205</v>
      </c>
      <c r="G1492" t="str">
        <f>"00216903"</f>
        <v>00216903</v>
      </c>
      <c r="H1492" t="s">
        <v>352</v>
      </c>
      <c r="I1492">
        <v>0</v>
      </c>
      <c r="J1492">
        <v>30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26</v>
      </c>
      <c r="S1492">
        <v>182</v>
      </c>
      <c r="T1492">
        <v>0</v>
      </c>
      <c r="V1492">
        <v>0</v>
      </c>
      <c r="W1492" t="s">
        <v>2204</v>
      </c>
    </row>
    <row r="1493" spans="1:23" x14ac:dyDescent="0.25">
      <c r="H1493">
        <v>400</v>
      </c>
    </row>
    <row r="1494" spans="1:23" x14ac:dyDescent="0.25">
      <c r="A1494">
        <v>744</v>
      </c>
      <c r="B1494">
        <v>1062</v>
      </c>
      <c r="C1494" t="s">
        <v>2206</v>
      </c>
      <c r="D1494" t="s">
        <v>701</v>
      </c>
      <c r="E1494" t="s">
        <v>15</v>
      </c>
      <c r="F1494" t="s">
        <v>2207</v>
      </c>
      <c r="G1494" t="str">
        <f>"201406005131"</f>
        <v>201406005131</v>
      </c>
      <c r="H1494" t="s">
        <v>1715</v>
      </c>
      <c r="I1494">
        <v>0</v>
      </c>
      <c r="J1494">
        <v>30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37</v>
      </c>
      <c r="S1494">
        <v>259</v>
      </c>
      <c r="T1494">
        <v>0</v>
      </c>
      <c r="V1494">
        <v>0</v>
      </c>
      <c r="W1494" t="s">
        <v>2204</v>
      </c>
    </row>
    <row r="1495" spans="1:23" x14ac:dyDescent="0.25">
      <c r="H1495" t="s">
        <v>855</v>
      </c>
    </row>
    <row r="1496" spans="1:23" x14ac:dyDescent="0.25">
      <c r="A1496">
        <v>745</v>
      </c>
      <c r="B1496">
        <v>780</v>
      </c>
      <c r="C1496" t="s">
        <v>2208</v>
      </c>
      <c r="D1496" t="s">
        <v>97</v>
      </c>
      <c r="E1496" t="s">
        <v>511</v>
      </c>
      <c r="F1496" t="s">
        <v>2209</v>
      </c>
      <c r="G1496" t="str">
        <f>"00011605"</f>
        <v>00011605</v>
      </c>
      <c r="H1496" t="s">
        <v>293</v>
      </c>
      <c r="I1496">
        <v>0</v>
      </c>
      <c r="J1496">
        <v>70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V1496">
        <v>0</v>
      </c>
      <c r="W1496" t="s">
        <v>2210</v>
      </c>
    </row>
    <row r="1497" spans="1:23" x14ac:dyDescent="0.25">
      <c r="H1497">
        <v>400</v>
      </c>
    </row>
    <row r="1498" spans="1:23" x14ac:dyDescent="0.25">
      <c r="A1498">
        <v>746</v>
      </c>
      <c r="B1498">
        <v>808</v>
      </c>
      <c r="C1498" t="s">
        <v>2211</v>
      </c>
      <c r="D1498" t="s">
        <v>192</v>
      </c>
      <c r="E1498" t="s">
        <v>45</v>
      </c>
      <c r="F1498" t="s">
        <v>2212</v>
      </c>
      <c r="G1498" t="str">
        <f>"00216996"</f>
        <v>00216996</v>
      </c>
      <c r="H1498" t="s">
        <v>293</v>
      </c>
      <c r="I1498">
        <v>0</v>
      </c>
      <c r="J1498">
        <v>70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V1498">
        <v>0</v>
      </c>
      <c r="W1498" t="s">
        <v>2210</v>
      </c>
    </row>
    <row r="1499" spans="1:23" x14ac:dyDescent="0.25">
      <c r="H1499">
        <v>400</v>
      </c>
    </row>
    <row r="1500" spans="1:23" x14ac:dyDescent="0.25">
      <c r="A1500">
        <v>747</v>
      </c>
      <c r="B1500">
        <v>1623</v>
      </c>
      <c r="C1500" t="s">
        <v>2213</v>
      </c>
      <c r="D1500" t="s">
        <v>343</v>
      </c>
      <c r="E1500" t="s">
        <v>49</v>
      </c>
      <c r="F1500" t="s">
        <v>2214</v>
      </c>
      <c r="G1500" t="str">
        <f>"201510001586"</f>
        <v>201510001586</v>
      </c>
      <c r="H1500" t="s">
        <v>2215</v>
      </c>
      <c r="I1500">
        <v>150</v>
      </c>
      <c r="J1500">
        <v>30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V1500">
        <v>0</v>
      </c>
      <c r="W1500" t="s">
        <v>2210</v>
      </c>
    </row>
    <row r="1501" spans="1:23" x14ac:dyDescent="0.25">
      <c r="H1501">
        <v>400</v>
      </c>
    </row>
    <row r="1502" spans="1:23" x14ac:dyDescent="0.25">
      <c r="A1502">
        <v>748</v>
      </c>
      <c r="B1502">
        <v>990</v>
      </c>
      <c r="C1502" t="s">
        <v>2216</v>
      </c>
      <c r="D1502" t="s">
        <v>209</v>
      </c>
      <c r="E1502" t="s">
        <v>408</v>
      </c>
      <c r="F1502" t="s">
        <v>2217</v>
      </c>
      <c r="G1502" t="str">
        <f>"00217565"</f>
        <v>00217565</v>
      </c>
      <c r="H1502">
        <v>979</v>
      </c>
      <c r="I1502">
        <v>0</v>
      </c>
      <c r="J1502">
        <v>30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V1502">
        <v>2</v>
      </c>
      <c r="W1502">
        <v>1009</v>
      </c>
    </row>
    <row r="1503" spans="1:23" x14ac:dyDescent="0.25">
      <c r="H1503">
        <v>400</v>
      </c>
    </row>
    <row r="1504" spans="1:23" x14ac:dyDescent="0.25">
      <c r="A1504">
        <v>749</v>
      </c>
      <c r="B1504">
        <v>1503</v>
      </c>
      <c r="C1504" t="s">
        <v>2218</v>
      </c>
      <c r="D1504" t="s">
        <v>2219</v>
      </c>
      <c r="E1504" t="s">
        <v>106</v>
      </c>
      <c r="F1504" t="s">
        <v>2220</v>
      </c>
      <c r="G1504" t="str">
        <f>"201409001641"</f>
        <v>201409001641</v>
      </c>
      <c r="H1504" t="s">
        <v>1856</v>
      </c>
      <c r="I1504">
        <v>0</v>
      </c>
      <c r="J1504">
        <v>30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29</v>
      </c>
      <c r="S1504">
        <v>203</v>
      </c>
      <c r="T1504">
        <v>0</v>
      </c>
      <c r="V1504">
        <v>0</v>
      </c>
      <c r="W1504" t="s">
        <v>2221</v>
      </c>
    </row>
    <row r="1505" spans="1:23" x14ac:dyDescent="0.25">
      <c r="H1505">
        <v>400</v>
      </c>
    </row>
    <row r="1506" spans="1:23" x14ac:dyDescent="0.25">
      <c r="A1506">
        <v>750</v>
      </c>
      <c r="B1506">
        <v>390</v>
      </c>
      <c r="C1506" t="s">
        <v>2222</v>
      </c>
      <c r="D1506" t="s">
        <v>187</v>
      </c>
      <c r="E1506" t="s">
        <v>158</v>
      </c>
      <c r="F1506" t="s">
        <v>2223</v>
      </c>
      <c r="G1506" t="str">
        <f>"00121992"</f>
        <v>00121992</v>
      </c>
      <c r="H1506">
        <v>770</v>
      </c>
      <c r="I1506">
        <v>0</v>
      </c>
      <c r="J1506">
        <v>70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24</v>
      </c>
      <c r="S1506">
        <v>168</v>
      </c>
      <c r="T1506">
        <v>0</v>
      </c>
      <c r="V1506">
        <v>0</v>
      </c>
      <c r="W1506">
        <v>1008</v>
      </c>
    </row>
    <row r="1507" spans="1:23" x14ac:dyDescent="0.25">
      <c r="H1507">
        <v>400</v>
      </c>
    </row>
    <row r="1508" spans="1:23" x14ac:dyDescent="0.25">
      <c r="A1508">
        <v>751</v>
      </c>
      <c r="B1508">
        <v>247</v>
      </c>
      <c r="C1508" t="s">
        <v>2224</v>
      </c>
      <c r="D1508" t="s">
        <v>625</v>
      </c>
      <c r="E1508" t="s">
        <v>49</v>
      </c>
      <c r="F1508" t="s">
        <v>2225</v>
      </c>
      <c r="G1508" t="str">
        <f>"00213266"</f>
        <v>00213266</v>
      </c>
      <c r="H1508" t="s">
        <v>41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V1508">
        <v>2</v>
      </c>
      <c r="W1508" t="s">
        <v>41</v>
      </c>
    </row>
    <row r="1509" spans="1:23" x14ac:dyDescent="0.25">
      <c r="H1509">
        <v>400</v>
      </c>
    </row>
    <row r="1510" spans="1:23" x14ac:dyDescent="0.25">
      <c r="A1510">
        <v>752</v>
      </c>
      <c r="B1510">
        <v>173</v>
      </c>
      <c r="C1510" t="s">
        <v>1864</v>
      </c>
      <c r="D1510" t="s">
        <v>21</v>
      </c>
      <c r="E1510" t="s">
        <v>209</v>
      </c>
      <c r="F1510" t="s">
        <v>2226</v>
      </c>
      <c r="G1510" t="str">
        <f>"00213468"</f>
        <v>00213468</v>
      </c>
      <c r="H1510">
        <v>935</v>
      </c>
      <c r="I1510">
        <v>0</v>
      </c>
      <c r="J1510">
        <v>70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V1510">
        <v>1</v>
      </c>
      <c r="W1510">
        <v>1005</v>
      </c>
    </row>
    <row r="1511" spans="1:23" x14ac:dyDescent="0.25">
      <c r="H1511">
        <v>400</v>
      </c>
    </row>
    <row r="1512" spans="1:23" x14ac:dyDescent="0.25">
      <c r="A1512">
        <v>753</v>
      </c>
      <c r="B1512">
        <v>1068</v>
      </c>
      <c r="C1512" t="s">
        <v>2227</v>
      </c>
      <c r="D1512" t="s">
        <v>2228</v>
      </c>
      <c r="E1512" t="s">
        <v>27</v>
      </c>
      <c r="F1512" t="s">
        <v>2229</v>
      </c>
      <c r="G1512" t="str">
        <f>"00217177"</f>
        <v>00217177</v>
      </c>
      <c r="H1512" t="s">
        <v>174</v>
      </c>
      <c r="I1512">
        <v>0</v>
      </c>
      <c r="J1512">
        <v>30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V1512">
        <v>2</v>
      </c>
      <c r="W1512" t="s">
        <v>2230</v>
      </c>
    </row>
    <row r="1513" spans="1:23" x14ac:dyDescent="0.25">
      <c r="H1513">
        <v>400</v>
      </c>
    </row>
    <row r="1514" spans="1:23" x14ac:dyDescent="0.25">
      <c r="A1514">
        <v>754</v>
      </c>
      <c r="B1514">
        <v>537</v>
      </c>
      <c r="C1514" t="s">
        <v>2231</v>
      </c>
      <c r="D1514" t="s">
        <v>49</v>
      </c>
      <c r="E1514" t="s">
        <v>21</v>
      </c>
      <c r="F1514" t="s">
        <v>2232</v>
      </c>
      <c r="G1514" t="str">
        <f>"201406017961"</f>
        <v>201406017961</v>
      </c>
      <c r="H1514" t="s">
        <v>643</v>
      </c>
      <c r="I1514">
        <v>0</v>
      </c>
      <c r="J1514">
        <v>70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32</v>
      </c>
      <c r="S1514">
        <v>224</v>
      </c>
      <c r="T1514">
        <v>0</v>
      </c>
      <c r="V1514">
        <v>0</v>
      </c>
      <c r="W1514" t="s">
        <v>2230</v>
      </c>
    </row>
    <row r="1515" spans="1:23" x14ac:dyDescent="0.25">
      <c r="H1515">
        <v>400</v>
      </c>
    </row>
    <row r="1516" spans="1:23" x14ac:dyDescent="0.25">
      <c r="A1516">
        <v>755</v>
      </c>
      <c r="B1516">
        <v>849</v>
      </c>
      <c r="C1516" t="s">
        <v>2233</v>
      </c>
      <c r="D1516" t="s">
        <v>990</v>
      </c>
      <c r="E1516" t="s">
        <v>158</v>
      </c>
      <c r="F1516" t="s">
        <v>2234</v>
      </c>
      <c r="G1516" t="str">
        <f>"00029258"</f>
        <v>00029258</v>
      </c>
      <c r="H1516">
        <v>825</v>
      </c>
      <c r="I1516">
        <v>0</v>
      </c>
      <c r="J1516">
        <v>30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21</v>
      </c>
      <c r="S1516">
        <v>147</v>
      </c>
      <c r="T1516">
        <v>0</v>
      </c>
      <c r="V1516">
        <v>1</v>
      </c>
      <c r="W1516">
        <v>1002</v>
      </c>
    </row>
    <row r="1517" spans="1:23" x14ac:dyDescent="0.25">
      <c r="H1517">
        <v>400</v>
      </c>
    </row>
    <row r="1518" spans="1:23" x14ac:dyDescent="0.25">
      <c r="A1518">
        <v>756</v>
      </c>
      <c r="B1518">
        <v>214</v>
      </c>
      <c r="C1518" t="s">
        <v>2235</v>
      </c>
      <c r="D1518" t="s">
        <v>2038</v>
      </c>
      <c r="E1518" t="s">
        <v>49</v>
      </c>
      <c r="F1518" t="s">
        <v>2236</v>
      </c>
      <c r="G1518" t="str">
        <f>"00214483"</f>
        <v>00214483</v>
      </c>
      <c r="H1518" t="s">
        <v>285</v>
      </c>
      <c r="I1518">
        <v>0</v>
      </c>
      <c r="J1518">
        <v>30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6</v>
      </c>
      <c r="S1518">
        <v>42</v>
      </c>
      <c r="T1518">
        <v>0</v>
      </c>
      <c r="V1518">
        <v>0</v>
      </c>
      <c r="W1518" t="s">
        <v>2237</v>
      </c>
    </row>
    <row r="1519" spans="1:23" x14ac:dyDescent="0.25">
      <c r="H1519">
        <v>400</v>
      </c>
    </row>
    <row r="1520" spans="1:23" x14ac:dyDescent="0.25">
      <c r="A1520">
        <v>757</v>
      </c>
      <c r="B1520">
        <v>1701</v>
      </c>
      <c r="C1520" t="s">
        <v>2238</v>
      </c>
      <c r="D1520" t="s">
        <v>241</v>
      </c>
      <c r="E1520" t="s">
        <v>2239</v>
      </c>
      <c r="F1520" t="s">
        <v>2240</v>
      </c>
      <c r="G1520" t="str">
        <f>"00216431"</f>
        <v>00216431</v>
      </c>
      <c r="H1520">
        <v>847</v>
      </c>
      <c r="I1520">
        <v>0</v>
      </c>
      <c r="J1520">
        <v>70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12</v>
      </c>
      <c r="S1520">
        <v>84</v>
      </c>
      <c r="T1520">
        <v>0</v>
      </c>
      <c r="V1520">
        <v>2</v>
      </c>
      <c r="W1520">
        <v>1001</v>
      </c>
    </row>
    <row r="1521" spans="1:23" x14ac:dyDescent="0.25">
      <c r="H1521">
        <v>400</v>
      </c>
    </row>
    <row r="1522" spans="1:23" x14ac:dyDescent="0.25">
      <c r="A1522">
        <v>758</v>
      </c>
      <c r="B1522">
        <v>1229</v>
      </c>
      <c r="C1522" t="s">
        <v>2241</v>
      </c>
      <c r="D1522" t="s">
        <v>177</v>
      </c>
      <c r="E1522" t="s">
        <v>744</v>
      </c>
      <c r="F1522" t="s">
        <v>2242</v>
      </c>
      <c r="G1522" t="str">
        <f>"00215456"</f>
        <v>00215456</v>
      </c>
      <c r="H1522" t="s">
        <v>472</v>
      </c>
      <c r="I1522">
        <v>0</v>
      </c>
      <c r="J1522">
        <v>70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8</v>
      </c>
      <c r="S1522">
        <v>56</v>
      </c>
      <c r="T1522">
        <v>0</v>
      </c>
      <c r="V1522">
        <v>1</v>
      </c>
      <c r="W1522" t="s">
        <v>2243</v>
      </c>
    </row>
    <row r="1523" spans="1:23" x14ac:dyDescent="0.25">
      <c r="H1523">
        <v>400</v>
      </c>
    </row>
    <row r="1524" spans="1:23" x14ac:dyDescent="0.25">
      <c r="A1524">
        <v>759</v>
      </c>
      <c r="B1524">
        <v>513</v>
      </c>
      <c r="C1524" t="s">
        <v>2244</v>
      </c>
      <c r="D1524" t="s">
        <v>192</v>
      </c>
      <c r="E1524" t="s">
        <v>2245</v>
      </c>
      <c r="F1524" t="s">
        <v>2246</v>
      </c>
      <c r="G1524" t="str">
        <f>"00205797"</f>
        <v>00205797</v>
      </c>
      <c r="H1524">
        <v>803</v>
      </c>
      <c r="I1524">
        <v>0</v>
      </c>
      <c r="J1524">
        <v>70</v>
      </c>
      <c r="K1524">
        <v>50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11</v>
      </c>
      <c r="S1524">
        <v>77</v>
      </c>
      <c r="T1524">
        <v>0</v>
      </c>
      <c r="V1524">
        <v>0</v>
      </c>
      <c r="W1524">
        <v>1000</v>
      </c>
    </row>
    <row r="1525" spans="1:23" x14ac:dyDescent="0.25">
      <c r="H1525" t="s">
        <v>76</v>
      </c>
    </row>
    <row r="1526" spans="1:23" x14ac:dyDescent="0.25">
      <c r="A1526">
        <v>760</v>
      </c>
      <c r="B1526">
        <v>1844</v>
      </c>
      <c r="C1526" t="s">
        <v>2247</v>
      </c>
      <c r="D1526" t="s">
        <v>413</v>
      </c>
      <c r="E1526" t="s">
        <v>163</v>
      </c>
      <c r="F1526" t="s">
        <v>2248</v>
      </c>
      <c r="G1526" t="str">
        <f>"201406017481"</f>
        <v>201406017481</v>
      </c>
      <c r="H1526" t="s">
        <v>285</v>
      </c>
      <c r="I1526">
        <v>0</v>
      </c>
      <c r="J1526">
        <v>70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V1526">
        <v>0</v>
      </c>
      <c r="W1526" t="s">
        <v>2249</v>
      </c>
    </row>
    <row r="1527" spans="1:23" x14ac:dyDescent="0.25">
      <c r="H1527">
        <v>400</v>
      </c>
    </row>
    <row r="1528" spans="1:23" x14ac:dyDescent="0.25">
      <c r="A1528">
        <v>761</v>
      </c>
      <c r="B1528">
        <v>305</v>
      </c>
      <c r="C1528" t="s">
        <v>2250</v>
      </c>
      <c r="D1528" t="s">
        <v>111</v>
      </c>
      <c r="E1528" t="s">
        <v>2251</v>
      </c>
      <c r="F1528" t="s">
        <v>2252</v>
      </c>
      <c r="G1528" t="str">
        <f>"00161477"</f>
        <v>00161477</v>
      </c>
      <c r="H1528" t="s">
        <v>1205</v>
      </c>
      <c r="I1528">
        <v>0</v>
      </c>
      <c r="J1528">
        <v>30</v>
      </c>
      <c r="K1528">
        <v>0</v>
      </c>
      <c r="L1528">
        <v>30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36</v>
      </c>
      <c r="S1528">
        <v>252</v>
      </c>
      <c r="T1528">
        <v>0</v>
      </c>
      <c r="V1528">
        <v>1</v>
      </c>
      <c r="W1528" t="s">
        <v>2249</v>
      </c>
    </row>
    <row r="1529" spans="1:23" x14ac:dyDescent="0.25">
      <c r="H1529">
        <v>400</v>
      </c>
    </row>
    <row r="1530" spans="1:23" x14ac:dyDescent="0.25">
      <c r="A1530">
        <v>762</v>
      </c>
      <c r="B1530">
        <v>1450</v>
      </c>
      <c r="C1530" t="s">
        <v>2253</v>
      </c>
      <c r="D1530" t="s">
        <v>71</v>
      </c>
      <c r="E1530" t="s">
        <v>209</v>
      </c>
      <c r="F1530" t="s">
        <v>2254</v>
      </c>
      <c r="G1530" t="str">
        <f>"00140350"</f>
        <v>00140350</v>
      </c>
      <c r="H1530">
        <v>968</v>
      </c>
      <c r="I1530">
        <v>0</v>
      </c>
      <c r="J1530">
        <v>30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V1530">
        <v>0</v>
      </c>
      <c r="W1530">
        <v>998</v>
      </c>
    </row>
    <row r="1531" spans="1:23" x14ac:dyDescent="0.25">
      <c r="H1531">
        <v>400</v>
      </c>
    </row>
    <row r="1532" spans="1:23" x14ac:dyDescent="0.25">
      <c r="A1532">
        <v>763</v>
      </c>
      <c r="B1532">
        <v>775</v>
      </c>
      <c r="C1532" t="s">
        <v>2255</v>
      </c>
      <c r="D1532" t="s">
        <v>738</v>
      </c>
      <c r="E1532" t="s">
        <v>2256</v>
      </c>
      <c r="F1532" t="s">
        <v>2257</v>
      </c>
      <c r="G1532" t="str">
        <f>"00214846"</f>
        <v>00214846</v>
      </c>
      <c r="H1532" t="s">
        <v>1317</v>
      </c>
      <c r="I1532">
        <v>0</v>
      </c>
      <c r="J1532">
        <v>70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28</v>
      </c>
      <c r="S1532">
        <v>196</v>
      </c>
      <c r="T1532">
        <v>0</v>
      </c>
      <c r="V1532">
        <v>0</v>
      </c>
      <c r="W1532" t="s">
        <v>2258</v>
      </c>
    </row>
    <row r="1533" spans="1:23" x14ac:dyDescent="0.25">
      <c r="H1533">
        <v>400</v>
      </c>
    </row>
    <row r="1534" spans="1:23" x14ac:dyDescent="0.25">
      <c r="A1534">
        <v>764</v>
      </c>
      <c r="B1534">
        <v>1892</v>
      </c>
      <c r="C1534" t="s">
        <v>1892</v>
      </c>
      <c r="D1534" t="s">
        <v>2259</v>
      </c>
      <c r="E1534" t="s">
        <v>71</v>
      </c>
      <c r="F1534" t="s">
        <v>2260</v>
      </c>
      <c r="G1534" t="str">
        <f>"201410003063"</f>
        <v>201410003063</v>
      </c>
      <c r="H1534" t="s">
        <v>394</v>
      </c>
      <c r="I1534">
        <v>0</v>
      </c>
      <c r="J1534">
        <v>50</v>
      </c>
      <c r="K1534">
        <v>50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V1534">
        <v>0</v>
      </c>
      <c r="W1534" t="s">
        <v>2261</v>
      </c>
    </row>
    <row r="1535" spans="1:23" x14ac:dyDescent="0.25">
      <c r="H1535">
        <v>400</v>
      </c>
    </row>
    <row r="1536" spans="1:23" x14ac:dyDescent="0.25">
      <c r="A1536">
        <v>765</v>
      </c>
      <c r="B1536">
        <v>905</v>
      </c>
      <c r="C1536" t="s">
        <v>2262</v>
      </c>
      <c r="D1536" t="s">
        <v>1750</v>
      </c>
      <c r="E1536" t="s">
        <v>27</v>
      </c>
      <c r="F1536" t="s">
        <v>2263</v>
      </c>
      <c r="G1536" t="str">
        <f>"00217776"</f>
        <v>00217776</v>
      </c>
      <c r="H1536" t="s">
        <v>1849</v>
      </c>
      <c r="I1536">
        <v>0</v>
      </c>
      <c r="J1536">
        <v>30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32</v>
      </c>
      <c r="S1536">
        <v>224</v>
      </c>
      <c r="T1536">
        <v>0</v>
      </c>
      <c r="V1536">
        <v>1</v>
      </c>
      <c r="W1536" t="s">
        <v>2261</v>
      </c>
    </row>
    <row r="1537" spans="1:23" x14ac:dyDescent="0.25">
      <c r="H1537">
        <v>400</v>
      </c>
    </row>
    <row r="1538" spans="1:23" x14ac:dyDescent="0.25">
      <c r="A1538">
        <v>766</v>
      </c>
      <c r="B1538">
        <v>1352</v>
      </c>
      <c r="C1538" t="s">
        <v>2264</v>
      </c>
      <c r="D1538" t="s">
        <v>363</v>
      </c>
      <c r="E1538" t="s">
        <v>27</v>
      </c>
      <c r="F1538" t="s">
        <v>2265</v>
      </c>
      <c r="G1538" t="str">
        <f>"00214194"</f>
        <v>00214194</v>
      </c>
      <c r="H1538">
        <v>946</v>
      </c>
      <c r="I1538">
        <v>0</v>
      </c>
      <c r="J1538">
        <v>50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V1538">
        <v>0</v>
      </c>
      <c r="W1538">
        <v>996</v>
      </c>
    </row>
    <row r="1539" spans="1:23" x14ac:dyDescent="0.25">
      <c r="H1539">
        <v>400</v>
      </c>
    </row>
    <row r="1540" spans="1:23" x14ac:dyDescent="0.25">
      <c r="A1540">
        <v>767</v>
      </c>
      <c r="B1540">
        <v>1299</v>
      </c>
      <c r="C1540" t="s">
        <v>2266</v>
      </c>
      <c r="D1540" t="s">
        <v>177</v>
      </c>
      <c r="E1540" t="s">
        <v>299</v>
      </c>
      <c r="F1540" t="s">
        <v>2267</v>
      </c>
      <c r="G1540" t="str">
        <f>"00216284"</f>
        <v>00216284</v>
      </c>
      <c r="H1540" t="s">
        <v>1856</v>
      </c>
      <c r="I1540">
        <v>150</v>
      </c>
      <c r="J1540">
        <v>70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V1540">
        <v>2</v>
      </c>
      <c r="W1540" t="s">
        <v>235</v>
      </c>
    </row>
    <row r="1541" spans="1:23" x14ac:dyDescent="0.25">
      <c r="H1541">
        <v>400</v>
      </c>
    </row>
    <row r="1542" spans="1:23" x14ac:dyDescent="0.25">
      <c r="A1542">
        <v>768</v>
      </c>
      <c r="B1542">
        <v>589</v>
      </c>
      <c r="C1542" t="s">
        <v>2268</v>
      </c>
      <c r="D1542" t="s">
        <v>15</v>
      </c>
      <c r="E1542" t="s">
        <v>2269</v>
      </c>
      <c r="F1542" t="s">
        <v>2270</v>
      </c>
      <c r="G1542" t="str">
        <f>"00215160"</f>
        <v>00215160</v>
      </c>
      <c r="H1542" t="s">
        <v>868</v>
      </c>
      <c r="I1542">
        <v>0</v>
      </c>
      <c r="J1542">
        <v>30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22</v>
      </c>
      <c r="S1542">
        <v>154</v>
      </c>
      <c r="T1542">
        <v>0</v>
      </c>
      <c r="V1542">
        <v>0</v>
      </c>
      <c r="W1542" t="s">
        <v>2271</v>
      </c>
    </row>
    <row r="1543" spans="1:23" x14ac:dyDescent="0.25">
      <c r="H1543">
        <v>400</v>
      </c>
    </row>
    <row r="1544" spans="1:23" x14ac:dyDescent="0.25">
      <c r="A1544">
        <v>769</v>
      </c>
      <c r="B1544">
        <v>1081</v>
      </c>
      <c r="C1544" t="s">
        <v>2272</v>
      </c>
      <c r="D1544" t="s">
        <v>209</v>
      </c>
      <c r="E1544" t="s">
        <v>21</v>
      </c>
      <c r="F1544" t="s">
        <v>2273</v>
      </c>
      <c r="G1544" t="str">
        <f>"201504004375"</f>
        <v>201504004375</v>
      </c>
      <c r="H1544" t="s">
        <v>114</v>
      </c>
      <c r="I1544">
        <v>0</v>
      </c>
      <c r="J1544">
        <v>70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V1544">
        <v>0</v>
      </c>
      <c r="W1544" t="s">
        <v>2274</v>
      </c>
    </row>
    <row r="1545" spans="1:23" x14ac:dyDescent="0.25">
      <c r="H1545">
        <v>400</v>
      </c>
    </row>
    <row r="1546" spans="1:23" x14ac:dyDescent="0.25">
      <c r="A1546">
        <v>770</v>
      </c>
      <c r="B1546">
        <v>1283</v>
      </c>
      <c r="C1546" t="s">
        <v>2275</v>
      </c>
      <c r="D1546" t="s">
        <v>177</v>
      </c>
      <c r="E1546" t="s">
        <v>144</v>
      </c>
      <c r="F1546" t="s">
        <v>2276</v>
      </c>
      <c r="G1546" t="str">
        <f>"00198290"</f>
        <v>00198290</v>
      </c>
      <c r="H1546" t="s">
        <v>114</v>
      </c>
      <c r="I1546">
        <v>0</v>
      </c>
      <c r="J1546">
        <v>70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V1546">
        <v>0</v>
      </c>
      <c r="W1546" t="s">
        <v>2274</v>
      </c>
    </row>
    <row r="1547" spans="1:23" x14ac:dyDescent="0.25">
      <c r="H1547">
        <v>400</v>
      </c>
    </row>
    <row r="1548" spans="1:23" x14ac:dyDescent="0.25">
      <c r="A1548">
        <v>771</v>
      </c>
      <c r="B1548">
        <v>690</v>
      </c>
      <c r="C1548" t="s">
        <v>2277</v>
      </c>
      <c r="D1548" t="s">
        <v>1676</v>
      </c>
      <c r="E1548" t="s">
        <v>467</v>
      </c>
      <c r="F1548" t="s">
        <v>2278</v>
      </c>
      <c r="G1548" t="str">
        <f>"00209820"</f>
        <v>00209820</v>
      </c>
      <c r="H1548" t="s">
        <v>868</v>
      </c>
      <c r="I1548">
        <v>150</v>
      </c>
      <c r="J1548">
        <v>30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V1548">
        <v>2</v>
      </c>
      <c r="W1548" t="s">
        <v>2274</v>
      </c>
    </row>
    <row r="1549" spans="1:23" x14ac:dyDescent="0.25">
      <c r="H1549">
        <v>400</v>
      </c>
    </row>
    <row r="1550" spans="1:23" x14ac:dyDescent="0.25">
      <c r="A1550">
        <v>772</v>
      </c>
      <c r="B1550">
        <v>280</v>
      </c>
      <c r="C1550" t="s">
        <v>924</v>
      </c>
      <c r="D1550" t="s">
        <v>180</v>
      </c>
      <c r="E1550" t="s">
        <v>59</v>
      </c>
      <c r="F1550" t="s">
        <v>2279</v>
      </c>
      <c r="G1550" t="str">
        <f>"00186914"</f>
        <v>00186914</v>
      </c>
      <c r="H1550" t="s">
        <v>1450</v>
      </c>
      <c r="I1550">
        <v>0</v>
      </c>
      <c r="J1550">
        <v>30</v>
      </c>
      <c r="K1550">
        <v>0</v>
      </c>
      <c r="L1550">
        <v>30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47</v>
      </c>
      <c r="S1550">
        <v>329</v>
      </c>
      <c r="T1550">
        <v>0</v>
      </c>
      <c r="V1550">
        <v>0</v>
      </c>
      <c r="W1550" t="s">
        <v>2274</v>
      </c>
    </row>
    <row r="1551" spans="1:23" x14ac:dyDescent="0.25">
      <c r="H1551">
        <v>400</v>
      </c>
    </row>
    <row r="1552" spans="1:23" x14ac:dyDescent="0.25">
      <c r="A1552">
        <v>773</v>
      </c>
      <c r="B1552">
        <v>327</v>
      </c>
      <c r="C1552" t="s">
        <v>2280</v>
      </c>
      <c r="D1552" t="s">
        <v>44</v>
      </c>
      <c r="E1552" t="s">
        <v>158</v>
      </c>
      <c r="F1552" t="s">
        <v>2281</v>
      </c>
      <c r="G1552" t="str">
        <f>"201511039190"</f>
        <v>201511039190</v>
      </c>
      <c r="H1552" t="s">
        <v>1927</v>
      </c>
      <c r="I1552">
        <v>0</v>
      </c>
      <c r="J1552">
        <v>50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V1552">
        <v>0</v>
      </c>
      <c r="W1552" t="s">
        <v>2282</v>
      </c>
    </row>
    <row r="1553" spans="1:23" x14ac:dyDescent="0.25">
      <c r="H1553">
        <v>400</v>
      </c>
    </row>
    <row r="1554" spans="1:23" x14ac:dyDescent="0.25">
      <c r="A1554">
        <v>774</v>
      </c>
      <c r="B1554">
        <v>459</v>
      </c>
      <c r="C1554" t="s">
        <v>2283</v>
      </c>
      <c r="D1554" t="s">
        <v>209</v>
      </c>
      <c r="E1554" t="s">
        <v>942</v>
      </c>
      <c r="F1554" t="s">
        <v>2284</v>
      </c>
      <c r="G1554" t="str">
        <f>"00205368"</f>
        <v>00205368</v>
      </c>
      <c r="H1554">
        <v>957</v>
      </c>
      <c r="I1554">
        <v>0</v>
      </c>
      <c r="J1554">
        <v>30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V1554">
        <v>0</v>
      </c>
      <c r="W1554">
        <v>987</v>
      </c>
    </row>
    <row r="1555" spans="1:23" x14ac:dyDescent="0.25">
      <c r="H1555">
        <v>400</v>
      </c>
    </row>
    <row r="1556" spans="1:23" x14ac:dyDescent="0.25">
      <c r="A1556">
        <v>775</v>
      </c>
      <c r="B1556">
        <v>1017</v>
      </c>
      <c r="C1556" t="s">
        <v>2285</v>
      </c>
      <c r="D1556" t="s">
        <v>363</v>
      </c>
      <c r="E1556" t="s">
        <v>408</v>
      </c>
      <c r="F1556" t="s">
        <v>2286</v>
      </c>
      <c r="G1556" t="str">
        <f>"201401001366"</f>
        <v>201401001366</v>
      </c>
      <c r="H1556" t="s">
        <v>218</v>
      </c>
      <c r="I1556">
        <v>0</v>
      </c>
      <c r="J1556">
        <v>30</v>
      </c>
      <c r="K1556">
        <v>30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12</v>
      </c>
      <c r="S1556">
        <v>84</v>
      </c>
      <c r="T1556">
        <v>0</v>
      </c>
      <c r="V1556">
        <v>2</v>
      </c>
      <c r="W1556" t="s">
        <v>2287</v>
      </c>
    </row>
    <row r="1557" spans="1:23" x14ac:dyDescent="0.25">
      <c r="H1557">
        <v>400</v>
      </c>
    </row>
    <row r="1558" spans="1:23" x14ac:dyDescent="0.25">
      <c r="A1558">
        <v>776</v>
      </c>
      <c r="B1558">
        <v>174</v>
      </c>
      <c r="C1558" t="s">
        <v>2288</v>
      </c>
      <c r="D1558" t="s">
        <v>251</v>
      </c>
      <c r="E1558" t="s">
        <v>241</v>
      </c>
      <c r="F1558" t="s">
        <v>2289</v>
      </c>
      <c r="G1558" t="str">
        <f>"00216499"</f>
        <v>00216499</v>
      </c>
      <c r="H1558" t="s">
        <v>2290</v>
      </c>
      <c r="I1558">
        <v>150</v>
      </c>
      <c r="J1558">
        <v>30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V1558">
        <v>0</v>
      </c>
      <c r="W1558" t="s">
        <v>2291</v>
      </c>
    </row>
    <row r="1559" spans="1:23" x14ac:dyDescent="0.25">
      <c r="H1559">
        <v>400</v>
      </c>
    </row>
    <row r="1560" spans="1:23" x14ac:dyDescent="0.25">
      <c r="A1560">
        <v>777</v>
      </c>
      <c r="B1560">
        <v>1863</v>
      </c>
      <c r="C1560" t="s">
        <v>2292</v>
      </c>
      <c r="D1560" t="s">
        <v>212</v>
      </c>
      <c r="E1560" t="s">
        <v>209</v>
      </c>
      <c r="F1560" t="s">
        <v>2293</v>
      </c>
      <c r="G1560" t="str">
        <f>"00214675"</f>
        <v>00214675</v>
      </c>
      <c r="H1560" t="s">
        <v>2294</v>
      </c>
      <c r="I1560">
        <v>0</v>
      </c>
      <c r="J1560">
        <v>30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8</v>
      </c>
      <c r="S1560">
        <v>56</v>
      </c>
      <c r="T1560">
        <v>0</v>
      </c>
      <c r="V1560">
        <v>0</v>
      </c>
      <c r="W1560" t="s">
        <v>2295</v>
      </c>
    </row>
    <row r="1561" spans="1:23" x14ac:dyDescent="0.25">
      <c r="H1561">
        <v>400</v>
      </c>
    </row>
    <row r="1562" spans="1:23" x14ac:dyDescent="0.25">
      <c r="A1562">
        <v>778</v>
      </c>
      <c r="B1562">
        <v>1659</v>
      </c>
      <c r="C1562" t="s">
        <v>2296</v>
      </c>
      <c r="D1562" t="s">
        <v>2297</v>
      </c>
      <c r="E1562" t="s">
        <v>163</v>
      </c>
      <c r="F1562" t="s">
        <v>2298</v>
      </c>
      <c r="G1562" t="str">
        <f>"201502002029"</f>
        <v>201502002029</v>
      </c>
      <c r="H1562">
        <v>770</v>
      </c>
      <c r="I1562">
        <v>0</v>
      </c>
      <c r="J1562">
        <v>70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20</v>
      </c>
      <c r="S1562">
        <v>140</v>
      </c>
      <c r="T1562">
        <v>0</v>
      </c>
      <c r="V1562">
        <v>2</v>
      </c>
      <c r="W1562">
        <v>980</v>
      </c>
    </row>
    <row r="1563" spans="1:23" x14ac:dyDescent="0.25">
      <c r="H1563">
        <v>400</v>
      </c>
    </row>
    <row r="1564" spans="1:23" x14ac:dyDescent="0.25">
      <c r="A1564">
        <v>779</v>
      </c>
      <c r="B1564">
        <v>560</v>
      </c>
      <c r="C1564" t="s">
        <v>2299</v>
      </c>
      <c r="D1564" t="s">
        <v>2300</v>
      </c>
      <c r="E1564" t="s">
        <v>49</v>
      </c>
      <c r="F1564" t="s">
        <v>2301</v>
      </c>
      <c r="G1564" t="str">
        <f>"00202003"</f>
        <v>00202003</v>
      </c>
      <c r="H1564">
        <v>572</v>
      </c>
      <c r="I1564">
        <v>0</v>
      </c>
      <c r="J1564">
        <v>30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54</v>
      </c>
      <c r="S1564">
        <v>378</v>
      </c>
      <c r="T1564">
        <v>0</v>
      </c>
      <c r="V1564">
        <v>0</v>
      </c>
      <c r="W1564">
        <v>980</v>
      </c>
    </row>
    <row r="1565" spans="1:23" x14ac:dyDescent="0.25">
      <c r="H1565">
        <v>400</v>
      </c>
    </row>
    <row r="1566" spans="1:23" x14ac:dyDescent="0.25">
      <c r="A1566">
        <v>780</v>
      </c>
      <c r="B1566">
        <v>199</v>
      </c>
      <c r="C1566" t="s">
        <v>905</v>
      </c>
      <c r="D1566" t="s">
        <v>71</v>
      </c>
      <c r="E1566" t="s">
        <v>299</v>
      </c>
      <c r="F1566" t="s">
        <v>2302</v>
      </c>
      <c r="G1566" t="str">
        <f>"00215383"</f>
        <v>00215383</v>
      </c>
      <c r="H1566" t="s">
        <v>2303</v>
      </c>
      <c r="I1566">
        <v>0</v>
      </c>
      <c r="J1566">
        <v>70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V1566">
        <v>0</v>
      </c>
      <c r="W1566" t="s">
        <v>2304</v>
      </c>
    </row>
    <row r="1567" spans="1:23" x14ac:dyDescent="0.25">
      <c r="H1567" t="s">
        <v>76</v>
      </c>
    </row>
    <row r="1568" spans="1:23" x14ac:dyDescent="0.25">
      <c r="A1568">
        <v>781</v>
      </c>
      <c r="B1568">
        <v>1539</v>
      </c>
      <c r="C1568" t="s">
        <v>2305</v>
      </c>
      <c r="D1568" t="s">
        <v>2038</v>
      </c>
      <c r="E1568" t="s">
        <v>39</v>
      </c>
      <c r="F1568" t="s">
        <v>2306</v>
      </c>
      <c r="G1568" t="str">
        <f>"00213400"</f>
        <v>00213400</v>
      </c>
      <c r="H1568">
        <v>946</v>
      </c>
      <c r="I1568">
        <v>0</v>
      </c>
      <c r="J1568">
        <v>30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V1568">
        <v>2</v>
      </c>
      <c r="W1568">
        <v>976</v>
      </c>
    </row>
    <row r="1569" spans="1:23" x14ac:dyDescent="0.25">
      <c r="H1569">
        <v>400</v>
      </c>
    </row>
    <row r="1570" spans="1:23" x14ac:dyDescent="0.25">
      <c r="A1570">
        <v>782</v>
      </c>
      <c r="B1570">
        <v>1917</v>
      </c>
      <c r="C1570" t="s">
        <v>2307</v>
      </c>
      <c r="D1570" t="s">
        <v>2308</v>
      </c>
      <c r="E1570" t="s">
        <v>467</v>
      </c>
      <c r="F1570" t="s">
        <v>2309</v>
      </c>
      <c r="G1570" t="str">
        <f>"00157377"</f>
        <v>00157377</v>
      </c>
      <c r="H1570">
        <v>605</v>
      </c>
      <c r="I1570">
        <v>150</v>
      </c>
      <c r="J1570">
        <v>30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27</v>
      </c>
      <c r="S1570">
        <v>189</v>
      </c>
      <c r="T1570">
        <v>0</v>
      </c>
      <c r="V1570">
        <v>2</v>
      </c>
      <c r="W1570">
        <v>974</v>
      </c>
    </row>
    <row r="1571" spans="1:23" x14ac:dyDescent="0.25">
      <c r="H1571">
        <v>400</v>
      </c>
    </row>
    <row r="1572" spans="1:23" x14ac:dyDescent="0.25">
      <c r="A1572">
        <v>783</v>
      </c>
      <c r="B1572">
        <v>1274</v>
      </c>
      <c r="C1572" t="s">
        <v>2310</v>
      </c>
      <c r="D1572" t="s">
        <v>212</v>
      </c>
      <c r="E1572" t="s">
        <v>154</v>
      </c>
      <c r="F1572" t="s">
        <v>2311</v>
      </c>
      <c r="G1572" t="str">
        <f>"00075885"</f>
        <v>00075885</v>
      </c>
      <c r="H1572">
        <v>825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21</v>
      </c>
      <c r="S1572">
        <v>147</v>
      </c>
      <c r="T1572">
        <v>0</v>
      </c>
      <c r="V1572">
        <v>0</v>
      </c>
      <c r="W1572">
        <v>972</v>
      </c>
    </row>
    <row r="1573" spans="1:23" x14ac:dyDescent="0.25">
      <c r="H1573" t="s">
        <v>76</v>
      </c>
    </row>
    <row r="1574" spans="1:23" x14ac:dyDescent="0.25">
      <c r="A1574">
        <v>784</v>
      </c>
      <c r="B1574">
        <v>1191</v>
      </c>
      <c r="C1574" t="s">
        <v>2085</v>
      </c>
      <c r="D1574" t="s">
        <v>468</v>
      </c>
      <c r="E1574" t="s">
        <v>82</v>
      </c>
      <c r="F1574" t="s">
        <v>2312</v>
      </c>
      <c r="G1574" t="str">
        <f>"00215390"</f>
        <v>00215390</v>
      </c>
      <c r="H1574">
        <v>880</v>
      </c>
      <c r="I1574">
        <v>0</v>
      </c>
      <c r="J1574">
        <v>70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3</v>
      </c>
      <c r="S1574">
        <v>21</v>
      </c>
      <c r="T1574">
        <v>0</v>
      </c>
      <c r="V1574">
        <v>1</v>
      </c>
      <c r="W1574">
        <v>971</v>
      </c>
    </row>
    <row r="1575" spans="1:23" x14ac:dyDescent="0.25">
      <c r="H1575">
        <v>400</v>
      </c>
    </row>
    <row r="1576" spans="1:23" x14ac:dyDescent="0.25">
      <c r="A1576">
        <v>785</v>
      </c>
      <c r="B1576">
        <v>1526</v>
      </c>
      <c r="C1576" t="s">
        <v>2313</v>
      </c>
      <c r="D1576" t="s">
        <v>209</v>
      </c>
      <c r="E1576" t="s">
        <v>2314</v>
      </c>
      <c r="F1576" t="s">
        <v>2315</v>
      </c>
      <c r="G1576" t="str">
        <f>"201401000638"</f>
        <v>201401000638</v>
      </c>
      <c r="H1576">
        <v>605</v>
      </c>
      <c r="I1576">
        <v>0</v>
      </c>
      <c r="J1576">
        <v>30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48</v>
      </c>
      <c r="S1576">
        <v>336</v>
      </c>
      <c r="T1576">
        <v>0</v>
      </c>
      <c r="V1576">
        <v>0</v>
      </c>
      <c r="W1576">
        <v>971</v>
      </c>
    </row>
    <row r="1577" spans="1:23" x14ac:dyDescent="0.25">
      <c r="H1577">
        <v>400</v>
      </c>
    </row>
    <row r="1578" spans="1:23" x14ac:dyDescent="0.25">
      <c r="A1578">
        <v>786</v>
      </c>
      <c r="B1578">
        <v>352</v>
      </c>
      <c r="C1578" t="s">
        <v>2316</v>
      </c>
      <c r="D1578" t="s">
        <v>15</v>
      </c>
      <c r="E1578" t="s">
        <v>291</v>
      </c>
      <c r="F1578" t="s">
        <v>2317</v>
      </c>
      <c r="G1578" t="str">
        <f>"00009240"</f>
        <v>00009240</v>
      </c>
      <c r="H1578">
        <v>715</v>
      </c>
      <c r="I1578">
        <v>150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15</v>
      </c>
      <c r="S1578">
        <v>105</v>
      </c>
      <c r="T1578">
        <v>0</v>
      </c>
      <c r="V1578">
        <v>0</v>
      </c>
      <c r="W1578">
        <v>970</v>
      </c>
    </row>
    <row r="1579" spans="1:23" x14ac:dyDescent="0.25">
      <c r="H1579">
        <v>400</v>
      </c>
    </row>
    <row r="1580" spans="1:23" x14ac:dyDescent="0.25">
      <c r="A1580">
        <v>787</v>
      </c>
      <c r="B1580">
        <v>889</v>
      </c>
      <c r="C1580" t="s">
        <v>844</v>
      </c>
      <c r="D1580" t="s">
        <v>157</v>
      </c>
      <c r="E1580" t="s">
        <v>15</v>
      </c>
      <c r="F1580" t="s">
        <v>2318</v>
      </c>
      <c r="G1580" t="str">
        <f>"00186448"</f>
        <v>00186448</v>
      </c>
      <c r="H1580">
        <v>759</v>
      </c>
      <c r="I1580">
        <v>0</v>
      </c>
      <c r="J1580">
        <v>70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20</v>
      </c>
      <c r="S1580">
        <v>140</v>
      </c>
      <c r="T1580">
        <v>0</v>
      </c>
      <c r="V1580">
        <v>0</v>
      </c>
      <c r="W1580">
        <v>969</v>
      </c>
    </row>
    <row r="1581" spans="1:23" x14ac:dyDescent="0.25">
      <c r="H1581">
        <v>400</v>
      </c>
    </row>
    <row r="1582" spans="1:23" x14ac:dyDescent="0.25">
      <c r="A1582">
        <v>788</v>
      </c>
      <c r="B1582">
        <v>30</v>
      </c>
      <c r="C1582" t="s">
        <v>2319</v>
      </c>
      <c r="D1582" t="s">
        <v>298</v>
      </c>
      <c r="E1582" t="s">
        <v>241</v>
      </c>
      <c r="F1582" t="s">
        <v>2320</v>
      </c>
      <c r="G1582" t="str">
        <f>"201506000267"</f>
        <v>201506000267</v>
      </c>
      <c r="H1582">
        <v>770</v>
      </c>
      <c r="I1582">
        <v>0</v>
      </c>
      <c r="J1582">
        <v>30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24</v>
      </c>
      <c r="S1582">
        <v>168</v>
      </c>
      <c r="T1582">
        <v>0</v>
      </c>
      <c r="V1582">
        <v>1</v>
      </c>
      <c r="W1582">
        <v>968</v>
      </c>
    </row>
    <row r="1583" spans="1:23" x14ac:dyDescent="0.25">
      <c r="H1583">
        <v>400</v>
      </c>
    </row>
    <row r="1584" spans="1:23" x14ac:dyDescent="0.25">
      <c r="A1584">
        <v>789</v>
      </c>
      <c r="B1584">
        <v>841</v>
      </c>
      <c r="C1584" t="s">
        <v>2321</v>
      </c>
      <c r="D1584" t="s">
        <v>2322</v>
      </c>
      <c r="E1584" t="s">
        <v>2323</v>
      </c>
      <c r="F1584" t="s">
        <v>2324</v>
      </c>
      <c r="G1584" t="str">
        <f>"00047403"</f>
        <v>00047403</v>
      </c>
      <c r="H1584" t="s">
        <v>850</v>
      </c>
      <c r="I1584">
        <v>0</v>
      </c>
      <c r="J1584">
        <v>50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36</v>
      </c>
      <c r="S1584">
        <v>252</v>
      </c>
      <c r="T1584">
        <v>0</v>
      </c>
      <c r="V1584">
        <v>0</v>
      </c>
      <c r="W1584" t="s">
        <v>2325</v>
      </c>
    </row>
    <row r="1585" spans="1:23" x14ac:dyDescent="0.25">
      <c r="H1585">
        <v>400</v>
      </c>
    </row>
    <row r="1586" spans="1:23" x14ac:dyDescent="0.25">
      <c r="A1586">
        <v>790</v>
      </c>
      <c r="B1586">
        <v>1829</v>
      </c>
      <c r="C1586" t="s">
        <v>2326</v>
      </c>
      <c r="D1586" t="s">
        <v>180</v>
      </c>
      <c r="E1586" t="s">
        <v>27</v>
      </c>
      <c r="F1586" t="s">
        <v>2327</v>
      </c>
      <c r="G1586" t="str">
        <f>"201402001923"</f>
        <v>201402001923</v>
      </c>
      <c r="H1586">
        <v>935</v>
      </c>
      <c r="I1586">
        <v>0</v>
      </c>
      <c r="J1586">
        <v>30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V1586">
        <v>0</v>
      </c>
      <c r="W1586">
        <v>965</v>
      </c>
    </row>
    <row r="1587" spans="1:23" x14ac:dyDescent="0.25">
      <c r="H1587">
        <v>400</v>
      </c>
    </row>
    <row r="1588" spans="1:23" x14ac:dyDescent="0.25">
      <c r="A1588">
        <v>791</v>
      </c>
      <c r="B1588">
        <v>6</v>
      </c>
      <c r="C1588" t="s">
        <v>2328</v>
      </c>
      <c r="D1588" t="s">
        <v>2329</v>
      </c>
      <c r="E1588" t="s">
        <v>1516</v>
      </c>
      <c r="F1588" t="s">
        <v>2330</v>
      </c>
      <c r="G1588" t="str">
        <f>"00008202"</f>
        <v>00008202</v>
      </c>
      <c r="H1588">
        <v>715</v>
      </c>
      <c r="I1588">
        <v>150</v>
      </c>
      <c r="J1588">
        <v>70</v>
      </c>
      <c r="K1588">
        <v>30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V1588">
        <v>0</v>
      </c>
      <c r="W1588">
        <v>965</v>
      </c>
    </row>
    <row r="1589" spans="1:23" x14ac:dyDescent="0.25">
      <c r="H1589">
        <v>400</v>
      </c>
    </row>
    <row r="1590" spans="1:23" x14ac:dyDescent="0.25">
      <c r="A1590">
        <v>792</v>
      </c>
      <c r="B1590">
        <v>424</v>
      </c>
      <c r="C1590" t="s">
        <v>2331</v>
      </c>
      <c r="D1590" t="s">
        <v>177</v>
      </c>
      <c r="E1590" t="s">
        <v>209</v>
      </c>
      <c r="F1590" t="s">
        <v>2332</v>
      </c>
      <c r="G1590" t="str">
        <f>"00217063"</f>
        <v>00217063</v>
      </c>
      <c r="H1590" t="s">
        <v>478</v>
      </c>
      <c r="I1590">
        <v>150</v>
      </c>
      <c r="J1590">
        <v>50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V1590">
        <v>0</v>
      </c>
      <c r="W1590" t="s">
        <v>2333</v>
      </c>
    </row>
    <row r="1591" spans="1:23" x14ac:dyDescent="0.25">
      <c r="H1591">
        <v>400</v>
      </c>
    </row>
    <row r="1592" spans="1:23" x14ac:dyDescent="0.25">
      <c r="A1592">
        <v>793</v>
      </c>
      <c r="B1592">
        <v>555</v>
      </c>
      <c r="C1592" t="s">
        <v>2334</v>
      </c>
      <c r="D1592" t="s">
        <v>2335</v>
      </c>
      <c r="E1592" t="s">
        <v>163</v>
      </c>
      <c r="F1592" t="s">
        <v>2336</v>
      </c>
      <c r="G1592" t="str">
        <f>"00211985"</f>
        <v>00211985</v>
      </c>
      <c r="H1592" t="s">
        <v>2337</v>
      </c>
      <c r="I1592">
        <v>0</v>
      </c>
      <c r="J1592">
        <v>50</v>
      </c>
      <c r="K1592">
        <v>0</v>
      </c>
      <c r="L1592">
        <v>50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12</v>
      </c>
      <c r="S1592">
        <v>84</v>
      </c>
      <c r="T1592">
        <v>0</v>
      </c>
      <c r="V1592">
        <v>0</v>
      </c>
      <c r="W1592" t="s">
        <v>2338</v>
      </c>
    </row>
    <row r="1593" spans="1:23" x14ac:dyDescent="0.25">
      <c r="H1593">
        <v>400</v>
      </c>
    </row>
    <row r="1594" spans="1:23" x14ac:dyDescent="0.25">
      <c r="A1594">
        <v>794</v>
      </c>
      <c r="B1594">
        <v>321</v>
      </c>
      <c r="C1594" t="s">
        <v>2150</v>
      </c>
      <c r="D1594" t="s">
        <v>738</v>
      </c>
      <c r="E1594" t="s">
        <v>59</v>
      </c>
      <c r="F1594" t="s">
        <v>2339</v>
      </c>
      <c r="G1594" t="str">
        <f>"00151251"</f>
        <v>00151251</v>
      </c>
      <c r="H1594">
        <v>737</v>
      </c>
      <c r="I1594">
        <v>0</v>
      </c>
      <c r="J1594">
        <v>30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28</v>
      </c>
      <c r="S1594">
        <v>196</v>
      </c>
      <c r="T1594">
        <v>0</v>
      </c>
      <c r="V1594">
        <v>0</v>
      </c>
      <c r="W1594">
        <v>963</v>
      </c>
    </row>
    <row r="1595" spans="1:23" x14ac:dyDescent="0.25">
      <c r="H1595">
        <v>400</v>
      </c>
    </row>
    <row r="1596" spans="1:23" x14ac:dyDescent="0.25">
      <c r="A1596">
        <v>795</v>
      </c>
      <c r="B1596">
        <v>1518</v>
      </c>
      <c r="C1596" t="s">
        <v>2340</v>
      </c>
      <c r="D1596" t="s">
        <v>192</v>
      </c>
      <c r="E1596" t="s">
        <v>299</v>
      </c>
      <c r="F1596" t="s">
        <v>2341</v>
      </c>
      <c r="G1596" t="str">
        <f>"201406015119"</f>
        <v>201406015119</v>
      </c>
      <c r="H1596" t="s">
        <v>2342</v>
      </c>
      <c r="I1596">
        <v>150</v>
      </c>
      <c r="J1596">
        <v>30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18</v>
      </c>
      <c r="S1596">
        <v>126</v>
      </c>
      <c r="T1596">
        <v>0</v>
      </c>
      <c r="V1596">
        <v>0</v>
      </c>
      <c r="W1596" t="s">
        <v>2343</v>
      </c>
    </row>
    <row r="1597" spans="1:23" x14ac:dyDescent="0.25">
      <c r="H1597">
        <v>400</v>
      </c>
    </row>
    <row r="1598" spans="1:23" x14ac:dyDescent="0.25">
      <c r="A1598">
        <v>796</v>
      </c>
      <c r="B1598">
        <v>1313</v>
      </c>
      <c r="C1598" t="s">
        <v>2344</v>
      </c>
      <c r="D1598" t="s">
        <v>220</v>
      </c>
      <c r="E1598" t="s">
        <v>241</v>
      </c>
      <c r="F1598" t="s">
        <v>2345</v>
      </c>
      <c r="G1598" t="str">
        <f>"00105241"</f>
        <v>00105241</v>
      </c>
      <c r="H1598">
        <v>880</v>
      </c>
      <c r="I1598">
        <v>0</v>
      </c>
      <c r="J1598">
        <v>50</v>
      </c>
      <c r="K1598">
        <v>30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V1598">
        <v>0</v>
      </c>
      <c r="W1598">
        <v>960</v>
      </c>
    </row>
    <row r="1599" spans="1:23" x14ac:dyDescent="0.25">
      <c r="H1599">
        <v>400</v>
      </c>
    </row>
    <row r="1600" spans="1:23" x14ac:dyDescent="0.25">
      <c r="A1600">
        <v>797</v>
      </c>
      <c r="B1600">
        <v>1782</v>
      </c>
      <c r="C1600" t="s">
        <v>2346</v>
      </c>
      <c r="D1600" t="s">
        <v>209</v>
      </c>
      <c r="E1600" t="s">
        <v>49</v>
      </c>
      <c r="F1600" t="s">
        <v>2347</v>
      </c>
      <c r="G1600" t="str">
        <f>"00212920"</f>
        <v>00212920</v>
      </c>
      <c r="H1600" t="s">
        <v>285</v>
      </c>
      <c r="I1600">
        <v>0</v>
      </c>
      <c r="J1600">
        <v>30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V1600">
        <v>0</v>
      </c>
      <c r="W1600" t="s">
        <v>2348</v>
      </c>
    </row>
    <row r="1601" spans="1:23" x14ac:dyDescent="0.25">
      <c r="H1601" t="s">
        <v>855</v>
      </c>
    </row>
    <row r="1602" spans="1:23" x14ac:dyDescent="0.25">
      <c r="A1602">
        <v>798</v>
      </c>
      <c r="B1602">
        <v>11</v>
      </c>
      <c r="C1602" t="s">
        <v>2349</v>
      </c>
      <c r="D1602" t="s">
        <v>180</v>
      </c>
      <c r="E1602" t="s">
        <v>71</v>
      </c>
      <c r="F1602" t="s">
        <v>2350</v>
      </c>
      <c r="G1602" t="str">
        <f>"00137436"</f>
        <v>00137436</v>
      </c>
      <c r="H1602">
        <v>858</v>
      </c>
      <c r="I1602">
        <v>0</v>
      </c>
      <c r="J1602">
        <v>70</v>
      </c>
      <c r="K1602">
        <v>30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V1602">
        <v>0</v>
      </c>
      <c r="W1602">
        <v>958</v>
      </c>
    </row>
    <row r="1603" spans="1:23" x14ac:dyDescent="0.25">
      <c r="H1603">
        <v>400</v>
      </c>
    </row>
    <row r="1604" spans="1:23" x14ac:dyDescent="0.25">
      <c r="A1604">
        <v>799</v>
      </c>
      <c r="B1604">
        <v>781</v>
      </c>
      <c r="C1604" t="s">
        <v>2351</v>
      </c>
      <c r="D1604" t="s">
        <v>363</v>
      </c>
      <c r="E1604" t="s">
        <v>49</v>
      </c>
      <c r="F1604" t="s">
        <v>2352</v>
      </c>
      <c r="G1604" t="str">
        <f>"00175977"</f>
        <v>00175977</v>
      </c>
      <c r="H1604">
        <v>759</v>
      </c>
      <c r="I1604">
        <v>0</v>
      </c>
      <c r="J1604">
        <v>50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21</v>
      </c>
      <c r="S1604">
        <v>147</v>
      </c>
      <c r="T1604">
        <v>0</v>
      </c>
      <c r="V1604">
        <v>0</v>
      </c>
      <c r="W1604">
        <v>956</v>
      </c>
    </row>
    <row r="1605" spans="1:23" x14ac:dyDescent="0.25">
      <c r="H1605">
        <v>400</v>
      </c>
    </row>
    <row r="1606" spans="1:23" x14ac:dyDescent="0.25">
      <c r="A1606">
        <v>800</v>
      </c>
      <c r="B1606">
        <v>1689</v>
      </c>
      <c r="C1606" t="s">
        <v>2353</v>
      </c>
      <c r="D1606" t="s">
        <v>27</v>
      </c>
      <c r="E1606" t="s">
        <v>49</v>
      </c>
      <c r="F1606" t="s">
        <v>2354</v>
      </c>
      <c r="G1606" t="str">
        <f>"00215253"</f>
        <v>00215253</v>
      </c>
      <c r="H1606" t="s">
        <v>437</v>
      </c>
      <c r="I1606">
        <v>0</v>
      </c>
      <c r="J1606">
        <v>70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V1606">
        <v>0</v>
      </c>
      <c r="W1606" t="s">
        <v>2355</v>
      </c>
    </row>
    <row r="1607" spans="1:23" x14ac:dyDescent="0.25">
      <c r="H1607">
        <v>400</v>
      </c>
    </row>
    <row r="1608" spans="1:23" x14ac:dyDescent="0.25">
      <c r="A1608">
        <v>801</v>
      </c>
      <c r="B1608">
        <v>1326</v>
      </c>
      <c r="C1608" t="s">
        <v>2356</v>
      </c>
      <c r="D1608" t="s">
        <v>177</v>
      </c>
      <c r="E1608" t="s">
        <v>1096</v>
      </c>
      <c r="F1608" t="s">
        <v>2357</v>
      </c>
      <c r="G1608" t="str">
        <f>"00217277"</f>
        <v>00217277</v>
      </c>
      <c r="H1608" t="s">
        <v>2358</v>
      </c>
      <c r="I1608">
        <v>0</v>
      </c>
      <c r="J1608">
        <v>70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V1608">
        <v>0</v>
      </c>
      <c r="W1608" t="s">
        <v>2359</v>
      </c>
    </row>
    <row r="1609" spans="1:23" x14ac:dyDescent="0.25">
      <c r="H1609">
        <v>400</v>
      </c>
    </row>
    <row r="1610" spans="1:23" x14ac:dyDescent="0.25">
      <c r="A1610">
        <v>802</v>
      </c>
      <c r="B1610">
        <v>1434</v>
      </c>
      <c r="C1610" t="s">
        <v>2360</v>
      </c>
      <c r="D1610" t="s">
        <v>2361</v>
      </c>
      <c r="E1610" t="s">
        <v>71</v>
      </c>
      <c r="F1610" t="s">
        <v>2362</v>
      </c>
      <c r="G1610" t="str">
        <f>"00213542"</f>
        <v>00213542</v>
      </c>
      <c r="H1610">
        <v>715</v>
      </c>
      <c r="I1610">
        <v>0</v>
      </c>
      <c r="J1610">
        <v>70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24</v>
      </c>
      <c r="S1610">
        <v>168</v>
      </c>
      <c r="T1610">
        <v>0</v>
      </c>
      <c r="V1610">
        <v>0</v>
      </c>
      <c r="W1610">
        <v>953</v>
      </c>
    </row>
    <row r="1611" spans="1:23" x14ac:dyDescent="0.25">
      <c r="H1611">
        <v>400</v>
      </c>
    </row>
    <row r="1612" spans="1:23" x14ac:dyDescent="0.25">
      <c r="A1612">
        <v>803</v>
      </c>
      <c r="B1612">
        <v>1850</v>
      </c>
      <c r="C1612" t="s">
        <v>2363</v>
      </c>
      <c r="D1612" t="s">
        <v>251</v>
      </c>
      <c r="E1612" t="s">
        <v>59</v>
      </c>
      <c r="F1612" t="s">
        <v>2364</v>
      </c>
      <c r="G1612" t="str">
        <f>"201511043517"</f>
        <v>201511043517</v>
      </c>
      <c r="H1612">
        <v>660</v>
      </c>
      <c r="I1612">
        <v>150</v>
      </c>
      <c r="J1612">
        <v>30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16</v>
      </c>
      <c r="S1612">
        <v>112</v>
      </c>
      <c r="T1612">
        <v>0</v>
      </c>
      <c r="V1612">
        <v>1</v>
      </c>
      <c r="W1612">
        <v>952</v>
      </c>
    </row>
    <row r="1613" spans="1:23" x14ac:dyDescent="0.25">
      <c r="H1613">
        <v>400</v>
      </c>
    </row>
    <row r="1614" spans="1:23" x14ac:dyDescent="0.25">
      <c r="A1614">
        <v>804</v>
      </c>
      <c r="B1614">
        <v>1387</v>
      </c>
      <c r="C1614" t="s">
        <v>2365</v>
      </c>
      <c r="D1614" t="s">
        <v>241</v>
      </c>
      <c r="E1614" t="s">
        <v>49</v>
      </c>
      <c r="F1614" t="s">
        <v>2366</v>
      </c>
      <c r="G1614" t="str">
        <f>"201406015052"</f>
        <v>201406015052</v>
      </c>
      <c r="H1614">
        <v>649</v>
      </c>
      <c r="I1614">
        <v>0</v>
      </c>
      <c r="J1614">
        <v>70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33</v>
      </c>
      <c r="S1614">
        <v>231</v>
      </c>
      <c r="T1614">
        <v>0</v>
      </c>
      <c r="V1614">
        <v>1</v>
      </c>
      <c r="W1614">
        <v>950</v>
      </c>
    </row>
    <row r="1615" spans="1:23" x14ac:dyDescent="0.25">
      <c r="H1615">
        <v>400</v>
      </c>
    </row>
    <row r="1616" spans="1:23" x14ac:dyDescent="0.25">
      <c r="A1616">
        <v>805</v>
      </c>
      <c r="B1616">
        <v>309</v>
      </c>
      <c r="C1616" t="s">
        <v>2367</v>
      </c>
      <c r="D1616" t="s">
        <v>177</v>
      </c>
      <c r="E1616" t="s">
        <v>523</v>
      </c>
      <c r="F1616" t="s">
        <v>2368</v>
      </c>
      <c r="G1616" t="str">
        <f>"00206358"</f>
        <v>00206358</v>
      </c>
      <c r="H1616" t="s">
        <v>1317</v>
      </c>
      <c r="I1616">
        <v>0</v>
      </c>
      <c r="J1616">
        <v>50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24</v>
      </c>
      <c r="S1616">
        <v>168</v>
      </c>
      <c r="T1616">
        <v>0</v>
      </c>
      <c r="V1616">
        <v>0</v>
      </c>
      <c r="W1616" t="s">
        <v>2369</v>
      </c>
    </row>
    <row r="1617" spans="1:23" x14ac:dyDescent="0.25">
      <c r="H1617">
        <v>400</v>
      </c>
    </row>
    <row r="1618" spans="1:23" x14ac:dyDescent="0.25">
      <c r="A1618">
        <v>806</v>
      </c>
      <c r="B1618">
        <v>996</v>
      </c>
      <c r="C1618" t="s">
        <v>2370</v>
      </c>
      <c r="D1618" t="s">
        <v>476</v>
      </c>
      <c r="E1618" t="s">
        <v>49</v>
      </c>
      <c r="F1618" t="s">
        <v>2371</v>
      </c>
      <c r="G1618" t="str">
        <f>"201406006981"</f>
        <v>201406006981</v>
      </c>
      <c r="H1618">
        <v>792</v>
      </c>
      <c r="I1618">
        <v>0</v>
      </c>
      <c r="J1618">
        <v>70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12</v>
      </c>
      <c r="S1618">
        <v>84</v>
      </c>
      <c r="T1618">
        <v>0</v>
      </c>
      <c r="V1618">
        <v>0</v>
      </c>
      <c r="W1618">
        <v>946</v>
      </c>
    </row>
    <row r="1619" spans="1:23" x14ac:dyDescent="0.25">
      <c r="H1619">
        <v>400</v>
      </c>
    </row>
    <row r="1620" spans="1:23" x14ac:dyDescent="0.25">
      <c r="A1620">
        <v>807</v>
      </c>
      <c r="B1620">
        <v>302</v>
      </c>
      <c r="C1620" t="s">
        <v>2372</v>
      </c>
      <c r="D1620" t="s">
        <v>200</v>
      </c>
      <c r="E1620" t="s">
        <v>2373</v>
      </c>
      <c r="F1620" t="s">
        <v>2374</v>
      </c>
      <c r="G1620" t="str">
        <f>"00216541"</f>
        <v>00216541</v>
      </c>
      <c r="H1620">
        <v>660</v>
      </c>
      <c r="I1620">
        <v>0</v>
      </c>
      <c r="J1620">
        <v>30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36</v>
      </c>
      <c r="S1620">
        <v>252</v>
      </c>
      <c r="T1620">
        <v>0</v>
      </c>
      <c r="V1620">
        <v>2</v>
      </c>
      <c r="W1620">
        <v>942</v>
      </c>
    </row>
    <row r="1621" spans="1:23" x14ac:dyDescent="0.25">
      <c r="H1621">
        <v>400</v>
      </c>
    </row>
    <row r="1622" spans="1:23" x14ac:dyDescent="0.25">
      <c r="A1622">
        <v>808</v>
      </c>
      <c r="B1622">
        <v>1369</v>
      </c>
      <c r="C1622" t="s">
        <v>2375</v>
      </c>
      <c r="D1622" t="s">
        <v>408</v>
      </c>
      <c r="E1622" t="s">
        <v>158</v>
      </c>
      <c r="F1622" t="s">
        <v>2376</v>
      </c>
      <c r="G1622" t="str">
        <f>"201410003722"</f>
        <v>201410003722</v>
      </c>
      <c r="H1622" t="s">
        <v>1205</v>
      </c>
      <c r="I1622">
        <v>0</v>
      </c>
      <c r="J1622">
        <v>30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32</v>
      </c>
      <c r="S1622">
        <v>224</v>
      </c>
      <c r="T1622">
        <v>0</v>
      </c>
      <c r="V1622">
        <v>0</v>
      </c>
      <c r="W1622" t="s">
        <v>2377</v>
      </c>
    </row>
    <row r="1623" spans="1:23" x14ac:dyDescent="0.25">
      <c r="H1623">
        <v>400</v>
      </c>
    </row>
    <row r="1624" spans="1:23" x14ac:dyDescent="0.25">
      <c r="A1624">
        <v>809</v>
      </c>
      <c r="B1624">
        <v>1751</v>
      </c>
      <c r="C1624" t="s">
        <v>2378</v>
      </c>
      <c r="D1624" t="s">
        <v>2379</v>
      </c>
      <c r="E1624" t="s">
        <v>209</v>
      </c>
      <c r="F1624" t="s">
        <v>2380</v>
      </c>
      <c r="G1624" t="str">
        <f>"00216374"</f>
        <v>00216374</v>
      </c>
      <c r="H1624">
        <v>869</v>
      </c>
      <c r="I1624">
        <v>0</v>
      </c>
      <c r="J1624">
        <v>70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V1624">
        <v>2</v>
      </c>
      <c r="W1624">
        <v>939</v>
      </c>
    </row>
    <row r="1625" spans="1:23" x14ac:dyDescent="0.25">
      <c r="H1625">
        <v>400</v>
      </c>
    </row>
    <row r="1626" spans="1:23" x14ac:dyDescent="0.25">
      <c r="A1626">
        <v>810</v>
      </c>
      <c r="B1626">
        <v>1085</v>
      </c>
      <c r="C1626" t="s">
        <v>615</v>
      </c>
      <c r="D1626" t="s">
        <v>192</v>
      </c>
      <c r="E1626" t="s">
        <v>49</v>
      </c>
      <c r="F1626" t="s">
        <v>2381</v>
      </c>
      <c r="G1626" t="str">
        <f>"201511032743"</f>
        <v>201511032743</v>
      </c>
      <c r="H1626" t="s">
        <v>1715</v>
      </c>
      <c r="I1626">
        <v>0</v>
      </c>
      <c r="J1626">
        <v>50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24</v>
      </c>
      <c r="S1626">
        <v>168</v>
      </c>
      <c r="T1626">
        <v>0</v>
      </c>
      <c r="V1626">
        <v>0</v>
      </c>
      <c r="W1626" t="s">
        <v>2382</v>
      </c>
    </row>
    <row r="1627" spans="1:23" x14ac:dyDescent="0.25">
      <c r="H1627">
        <v>400</v>
      </c>
    </row>
    <row r="1628" spans="1:23" x14ac:dyDescent="0.25">
      <c r="A1628">
        <v>811</v>
      </c>
      <c r="B1628">
        <v>984</v>
      </c>
      <c r="C1628" t="s">
        <v>2383</v>
      </c>
      <c r="D1628" t="s">
        <v>150</v>
      </c>
      <c r="E1628" t="s">
        <v>283</v>
      </c>
      <c r="F1628" t="s">
        <v>2384</v>
      </c>
      <c r="G1628" t="str">
        <f>"00184533"</f>
        <v>00184533</v>
      </c>
      <c r="H1628">
        <v>528</v>
      </c>
      <c r="I1628">
        <v>150</v>
      </c>
      <c r="J1628">
        <v>50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30</v>
      </c>
      <c r="S1628">
        <v>210</v>
      </c>
      <c r="T1628">
        <v>0</v>
      </c>
      <c r="V1628">
        <v>1</v>
      </c>
      <c r="W1628">
        <v>938</v>
      </c>
    </row>
    <row r="1629" spans="1:23" x14ac:dyDescent="0.25">
      <c r="H1629">
        <v>400</v>
      </c>
    </row>
    <row r="1630" spans="1:23" x14ac:dyDescent="0.25">
      <c r="A1630">
        <v>812</v>
      </c>
      <c r="B1630">
        <v>330</v>
      </c>
      <c r="C1630" t="s">
        <v>2385</v>
      </c>
      <c r="D1630" t="s">
        <v>177</v>
      </c>
      <c r="E1630" t="s">
        <v>15</v>
      </c>
      <c r="F1630" t="s">
        <v>2386</v>
      </c>
      <c r="G1630" t="str">
        <f>"201504005101"</f>
        <v>201504005101</v>
      </c>
      <c r="H1630" t="s">
        <v>459</v>
      </c>
      <c r="I1630">
        <v>0</v>
      </c>
      <c r="J1630">
        <v>30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V1630">
        <v>0</v>
      </c>
      <c r="W1630" t="s">
        <v>2387</v>
      </c>
    </row>
    <row r="1631" spans="1:23" x14ac:dyDescent="0.25">
      <c r="H1631">
        <v>400</v>
      </c>
    </row>
    <row r="1632" spans="1:23" x14ac:dyDescent="0.25">
      <c r="A1632">
        <v>813</v>
      </c>
      <c r="B1632">
        <v>1664</v>
      </c>
      <c r="C1632" t="s">
        <v>2388</v>
      </c>
      <c r="D1632" t="s">
        <v>180</v>
      </c>
      <c r="E1632" t="s">
        <v>2389</v>
      </c>
      <c r="F1632" t="s">
        <v>2390</v>
      </c>
      <c r="G1632" t="str">
        <f>"201512002104"</f>
        <v>201512002104</v>
      </c>
      <c r="H1632" t="s">
        <v>459</v>
      </c>
      <c r="I1632">
        <v>0</v>
      </c>
      <c r="J1632">
        <v>30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V1632">
        <v>0</v>
      </c>
      <c r="W1632" t="s">
        <v>2387</v>
      </c>
    </row>
    <row r="1633" spans="1:23" x14ac:dyDescent="0.25">
      <c r="H1633">
        <v>400</v>
      </c>
    </row>
    <row r="1634" spans="1:23" x14ac:dyDescent="0.25">
      <c r="A1634">
        <v>814</v>
      </c>
      <c r="B1634">
        <v>456</v>
      </c>
      <c r="C1634" t="s">
        <v>2391</v>
      </c>
      <c r="D1634" t="s">
        <v>299</v>
      </c>
      <c r="E1634" t="s">
        <v>59</v>
      </c>
      <c r="F1634" t="s">
        <v>2392</v>
      </c>
      <c r="G1634" t="str">
        <f>"201406001807"</f>
        <v>201406001807</v>
      </c>
      <c r="H1634" t="s">
        <v>437</v>
      </c>
      <c r="I1634">
        <v>0</v>
      </c>
      <c r="J1634">
        <v>50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V1634">
        <v>0</v>
      </c>
      <c r="W1634" t="s">
        <v>2393</v>
      </c>
    </row>
    <row r="1635" spans="1:23" x14ac:dyDescent="0.25">
      <c r="H1635">
        <v>400</v>
      </c>
    </row>
    <row r="1636" spans="1:23" x14ac:dyDescent="0.25">
      <c r="A1636">
        <v>815</v>
      </c>
      <c r="B1636">
        <v>1587</v>
      </c>
      <c r="C1636" t="s">
        <v>2394</v>
      </c>
      <c r="D1636" t="s">
        <v>81</v>
      </c>
      <c r="E1636" t="s">
        <v>33</v>
      </c>
      <c r="F1636" t="s">
        <v>2395</v>
      </c>
      <c r="G1636" t="str">
        <f>"00213110"</f>
        <v>00213110</v>
      </c>
      <c r="H1636" t="s">
        <v>437</v>
      </c>
      <c r="I1636">
        <v>0</v>
      </c>
      <c r="J1636">
        <v>50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V1636">
        <v>0</v>
      </c>
      <c r="W1636" t="s">
        <v>2393</v>
      </c>
    </row>
    <row r="1637" spans="1:23" x14ac:dyDescent="0.25">
      <c r="H1637">
        <v>400</v>
      </c>
    </row>
    <row r="1638" spans="1:23" x14ac:dyDescent="0.25">
      <c r="A1638">
        <v>816</v>
      </c>
      <c r="B1638">
        <v>1593</v>
      </c>
      <c r="C1638" t="s">
        <v>1455</v>
      </c>
      <c r="D1638" t="s">
        <v>50</v>
      </c>
      <c r="E1638" t="s">
        <v>408</v>
      </c>
      <c r="F1638" t="s">
        <v>2396</v>
      </c>
      <c r="G1638" t="str">
        <f>"201406000878"</f>
        <v>201406000878</v>
      </c>
      <c r="H1638">
        <v>715</v>
      </c>
      <c r="I1638">
        <v>150</v>
      </c>
      <c r="J1638">
        <v>70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V1638">
        <v>0</v>
      </c>
      <c r="W1638">
        <v>935</v>
      </c>
    </row>
    <row r="1639" spans="1:23" x14ac:dyDescent="0.25">
      <c r="H1639">
        <v>400</v>
      </c>
    </row>
    <row r="1640" spans="1:23" x14ac:dyDescent="0.25">
      <c r="A1640">
        <v>817</v>
      </c>
      <c r="B1640">
        <v>1163</v>
      </c>
      <c r="C1640" t="s">
        <v>2397</v>
      </c>
      <c r="D1640" t="s">
        <v>408</v>
      </c>
      <c r="E1640" t="s">
        <v>200</v>
      </c>
      <c r="F1640" t="s">
        <v>2398</v>
      </c>
      <c r="G1640" t="str">
        <f>"201502001174"</f>
        <v>201502001174</v>
      </c>
      <c r="H1640" t="s">
        <v>356</v>
      </c>
      <c r="I1640">
        <v>0</v>
      </c>
      <c r="J1640">
        <v>50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14</v>
      </c>
      <c r="S1640">
        <v>98</v>
      </c>
      <c r="T1640">
        <v>0</v>
      </c>
      <c r="V1640">
        <v>0</v>
      </c>
      <c r="W1640" t="s">
        <v>2399</v>
      </c>
    </row>
    <row r="1641" spans="1:23" x14ac:dyDescent="0.25">
      <c r="H1641">
        <v>400</v>
      </c>
    </row>
    <row r="1642" spans="1:23" x14ac:dyDescent="0.25">
      <c r="A1642">
        <v>818</v>
      </c>
      <c r="B1642">
        <v>49</v>
      </c>
      <c r="C1642" t="s">
        <v>2400</v>
      </c>
      <c r="D1642" t="s">
        <v>2401</v>
      </c>
      <c r="E1642" t="s">
        <v>2402</v>
      </c>
      <c r="F1642" t="s">
        <v>2403</v>
      </c>
      <c r="G1642" t="str">
        <f>"00215617"</f>
        <v>00215617</v>
      </c>
      <c r="H1642" t="s">
        <v>710</v>
      </c>
      <c r="I1642">
        <v>0</v>
      </c>
      <c r="J1642">
        <v>70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V1642">
        <v>1</v>
      </c>
      <c r="W1642" t="s">
        <v>2404</v>
      </c>
    </row>
    <row r="1643" spans="1:23" x14ac:dyDescent="0.25">
      <c r="H1643">
        <v>400</v>
      </c>
    </row>
    <row r="1644" spans="1:23" x14ac:dyDescent="0.25">
      <c r="A1644">
        <v>819</v>
      </c>
      <c r="B1644">
        <v>770</v>
      </c>
      <c r="C1644" t="s">
        <v>2405</v>
      </c>
      <c r="D1644" t="s">
        <v>2406</v>
      </c>
      <c r="E1644" t="s">
        <v>27</v>
      </c>
      <c r="F1644" t="s">
        <v>2407</v>
      </c>
      <c r="G1644" t="str">
        <f>"00028934"</f>
        <v>00028934</v>
      </c>
      <c r="H1644">
        <v>693</v>
      </c>
      <c r="I1644">
        <v>0</v>
      </c>
      <c r="J1644">
        <v>30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30</v>
      </c>
      <c r="S1644">
        <v>210</v>
      </c>
      <c r="T1644">
        <v>0</v>
      </c>
      <c r="V1644">
        <v>0</v>
      </c>
      <c r="W1644">
        <v>933</v>
      </c>
    </row>
    <row r="1645" spans="1:23" x14ac:dyDescent="0.25">
      <c r="H1645">
        <v>400</v>
      </c>
    </row>
    <row r="1646" spans="1:23" x14ac:dyDescent="0.25">
      <c r="A1646">
        <v>820</v>
      </c>
      <c r="B1646">
        <v>407</v>
      </c>
      <c r="C1646" t="s">
        <v>2408</v>
      </c>
      <c r="D1646" t="s">
        <v>209</v>
      </c>
      <c r="E1646" t="s">
        <v>27</v>
      </c>
      <c r="F1646" t="s">
        <v>2409</v>
      </c>
      <c r="G1646" t="str">
        <f>"00008650"</f>
        <v>00008650</v>
      </c>
      <c r="H1646">
        <v>671</v>
      </c>
      <c r="I1646">
        <v>150</v>
      </c>
      <c r="J1646">
        <v>70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6</v>
      </c>
      <c r="S1646">
        <v>42</v>
      </c>
      <c r="T1646">
        <v>0</v>
      </c>
      <c r="V1646">
        <v>0</v>
      </c>
      <c r="W1646">
        <v>933</v>
      </c>
    </row>
    <row r="1647" spans="1:23" x14ac:dyDescent="0.25">
      <c r="H1647">
        <v>400</v>
      </c>
    </row>
    <row r="1648" spans="1:23" x14ac:dyDescent="0.25">
      <c r="A1648">
        <v>821</v>
      </c>
      <c r="B1648">
        <v>1157</v>
      </c>
      <c r="C1648" t="s">
        <v>2410</v>
      </c>
      <c r="D1648" t="s">
        <v>192</v>
      </c>
      <c r="E1648" t="s">
        <v>209</v>
      </c>
      <c r="F1648" t="s">
        <v>2411</v>
      </c>
      <c r="G1648" t="str">
        <f>"00145688"</f>
        <v>00145688</v>
      </c>
      <c r="H1648">
        <v>880</v>
      </c>
      <c r="I1648">
        <v>0</v>
      </c>
      <c r="J1648">
        <v>50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V1648">
        <v>2</v>
      </c>
      <c r="W1648">
        <v>930</v>
      </c>
    </row>
    <row r="1649" spans="1:23" x14ac:dyDescent="0.25">
      <c r="H1649">
        <v>400</v>
      </c>
    </row>
    <row r="1650" spans="1:23" x14ac:dyDescent="0.25">
      <c r="A1650">
        <v>822</v>
      </c>
      <c r="B1650">
        <v>1719</v>
      </c>
      <c r="C1650" t="s">
        <v>2412</v>
      </c>
      <c r="D1650" t="s">
        <v>15</v>
      </c>
      <c r="E1650" t="s">
        <v>27</v>
      </c>
      <c r="F1650" t="s">
        <v>2413</v>
      </c>
      <c r="G1650" t="str">
        <f>"00188278"</f>
        <v>00188278</v>
      </c>
      <c r="H1650">
        <v>880</v>
      </c>
      <c r="I1650">
        <v>0</v>
      </c>
      <c r="J1650">
        <v>50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V1650">
        <v>0</v>
      </c>
      <c r="W1650">
        <v>930</v>
      </c>
    </row>
    <row r="1651" spans="1:23" x14ac:dyDescent="0.25">
      <c r="H1651">
        <v>400</v>
      </c>
    </row>
    <row r="1652" spans="1:23" x14ac:dyDescent="0.25">
      <c r="A1652">
        <v>823</v>
      </c>
      <c r="B1652">
        <v>237</v>
      </c>
      <c r="C1652" t="s">
        <v>814</v>
      </c>
      <c r="D1652" t="s">
        <v>192</v>
      </c>
      <c r="E1652" t="s">
        <v>132</v>
      </c>
      <c r="F1652" t="s">
        <v>2414</v>
      </c>
      <c r="G1652" t="str">
        <f>"201203000057"</f>
        <v>201203000057</v>
      </c>
      <c r="H1652">
        <v>803</v>
      </c>
      <c r="I1652">
        <v>0</v>
      </c>
      <c r="J1652">
        <v>50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11</v>
      </c>
      <c r="S1652">
        <v>77</v>
      </c>
      <c r="T1652">
        <v>0</v>
      </c>
      <c r="V1652">
        <v>2</v>
      </c>
      <c r="W1652">
        <v>930</v>
      </c>
    </row>
    <row r="1653" spans="1:23" x14ac:dyDescent="0.25">
      <c r="H1653">
        <v>400</v>
      </c>
    </row>
    <row r="1654" spans="1:23" x14ac:dyDescent="0.25">
      <c r="A1654">
        <v>824</v>
      </c>
      <c r="B1654">
        <v>1443</v>
      </c>
      <c r="C1654" t="s">
        <v>2415</v>
      </c>
      <c r="D1654" t="s">
        <v>158</v>
      </c>
      <c r="E1654" t="s">
        <v>132</v>
      </c>
      <c r="F1654" t="s">
        <v>2416</v>
      </c>
      <c r="G1654" t="str">
        <f>"00215419"</f>
        <v>00215419</v>
      </c>
      <c r="H1654">
        <v>759</v>
      </c>
      <c r="I1654">
        <v>0</v>
      </c>
      <c r="J1654">
        <v>70</v>
      </c>
      <c r="K1654">
        <v>30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10</v>
      </c>
      <c r="S1654">
        <v>70</v>
      </c>
      <c r="T1654">
        <v>0</v>
      </c>
      <c r="V1654">
        <v>0</v>
      </c>
      <c r="W1654">
        <v>929</v>
      </c>
    </row>
    <row r="1655" spans="1:23" x14ac:dyDescent="0.25">
      <c r="H1655">
        <v>400</v>
      </c>
    </row>
    <row r="1656" spans="1:23" x14ac:dyDescent="0.25">
      <c r="A1656">
        <v>825</v>
      </c>
      <c r="B1656">
        <v>1275</v>
      </c>
      <c r="C1656" t="s">
        <v>2417</v>
      </c>
      <c r="D1656" t="s">
        <v>1760</v>
      </c>
      <c r="E1656" t="s">
        <v>21</v>
      </c>
      <c r="F1656" t="s">
        <v>2418</v>
      </c>
      <c r="G1656" t="str">
        <f>"00154062"</f>
        <v>00154062</v>
      </c>
      <c r="H1656" t="s">
        <v>1725</v>
      </c>
      <c r="I1656">
        <v>0</v>
      </c>
      <c r="J1656">
        <v>30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38</v>
      </c>
      <c r="S1656">
        <v>266</v>
      </c>
      <c r="T1656">
        <v>0</v>
      </c>
      <c r="V1656">
        <v>0</v>
      </c>
      <c r="W1656" t="s">
        <v>2419</v>
      </c>
    </row>
    <row r="1657" spans="1:23" x14ac:dyDescent="0.25">
      <c r="H1657">
        <v>400</v>
      </c>
    </row>
    <row r="1658" spans="1:23" x14ac:dyDescent="0.25">
      <c r="A1658">
        <v>826</v>
      </c>
      <c r="B1658">
        <v>143</v>
      </c>
      <c r="C1658" t="s">
        <v>2420</v>
      </c>
      <c r="D1658" t="s">
        <v>2421</v>
      </c>
      <c r="E1658" t="s">
        <v>2422</v>
      </c>
      <c r="F1658" t="s">
        <v>2423</v>
      </c>
      <c r="G1658" t="str">
        <f>"00166061"</f>
        <v>00166061</v>
      </c>
      <c r="H1658">
        <v>858</v>
      </c>
      <c r="I1658">
        <v>0</v>
      </c>
      <c r="J1658">
        <v>70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V1658">
        <v>0</v>
      </c>
      <c r="W1658">
        <v>928</v>
      </c>
    </row>
    <row r="1659" spans="1:23" x14ac:dyDescent="0.25">
      <c r="H1659">
        <v>400</v>
      </c>
    </row>
    <row r="1660" spans="1:23" x14ac:dyDescent="0.25">
      <c r="A1660">
        <v>827</v>
      </c>
      <c r="B1660">
        <v>533</v>
      </c>
      <c r="C1660" t="s">
        <v>2424</v>
      </c>
      <c r="D1660" t="s">
        <v>2425</v>
      </c>
      <c r="E1660" t="s">
        <v>144</v>
      </c>
      <c r="F1660" t="s">
        <v>2426</v>
      </c>
      <c r="G1660" t="str">
        <f>"201412001062"</f>
        <v>201412001062</v>
      </c>
      <c r="H1660">
        <v>715</v>
      </c>
      <c r="I1660">
        <v>0</v>
      </c>
      <c r="J1660">
        <v>50</v>
      </c>
      <c r="K1660">
        <v>30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19</v>
      </c>
      <c r="S1660">
        <v>133</v>
      </c>
      <c r="T1660">
        <v>0</v>
      </c>
      <c r="V1660">
        <v>0</v>
      </c>
      <c r="W1660">
        <v>928</v>
      </c>
    </row>
    <row r="1661" spans="1:23" x14ac:dyDescent="0.25">
      <c r="H1661">
        <v>400</v>
      </c>
    </row>
    <row r="1662" spans="1:23" x14ac:dyDescent="0.25">
      <c r="A1662">
        <v>828</v>
      </c>
      <c r="B1662">
        <v>461</v>
      </c>
      <c r="C1662" t="s">
        <v>2427</v>
      </c>
      <c r="D1662" t="s">
        <v>209</v>
      </c>
      <c r="E1662" t="s">
        <v>112</v>
      </c>
      <c r="F1662" t="s">
        <v>2428</v>
      </c>
      <c r="G1662" t="str">
        <f>"201412003071"</f>
        <v>201412003071</v>
      </c>
      <c r="H1662" t="s">
        <v>394</v>
      </c>
      <c r="I1662">
        <v>0</v>
      </c>
      <c r="J1662">
        <v>30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V1662">
        <v>0</v>
      </c>
      <c r="W1662" t="s">
        <v>2429</v>
      </c>
    </row>
    <row r="1663" spans="1:23" x14ac:dyDescent="0.25">
      <c r="H1663">
        <v>400</v>
      </c>
    </row>
    <row r="1664" spans="1:23" x14ac:dyDescent="0.25">
      <c r="A1664">
        <v>829</v>
      </c>
      <c r="B1664">
        <v>1162</v>
      </c>
      <c r="C1664" t="s">
        <v>2430</v>
      </c>
      <c r="D1664" t="s">
        <v>2431</v>
      </c>
      <c r="E1664" t="s">
        <v>33</v>
      </c>
      <c r="F1664" t="s">
        <v>2432</v>
      </c>
      <c r="G1664" t="str">
        <f>"00214884"</f>
        <v>00214884</v>
      </c>
      <c r="H1664">
        <v>924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V1664">
        <v>0</v>
      </c>
      <c r="W1664">
        <v>924</v>
      </c>
    </row>
    <row r="1665" spans="1:23" x14ac:dyDescent="0.25">
      <c r="H1665">
        <v>400</v>
      </c>
    </row>
    <row r="1666" spans="1:23" x14ac:dyDescent="0.25">
      <c r="A1666">
        <v>830</v>
      </c>
      <c r="B1666">
        <v>1569</v>
      </c>
      <c r="C1666" t="s">
        <v>2433</v>
      </c>
      <c r="D1666" t="s">
        <v>27</v>
      </c>
      <c r="E1666" t="s">
        <v>21</v>
      </c>
      <c r="F1666" t="s">
        <v>2434</v>
      </c>
      <c r="G1666" t="str">
        <f>"201412002751"</f>
        <v>201412002751</v>
      </c>
      <c r="H1666">
        <v>649</v>
      </c>
      <c r="I1666">
        <v>0</v>
      </c>
      <c r="J1666">
        <v>30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35</v>
      </c>
      <c r="S1666">
        <v>245</v>
      </c>
      <c r="T1666">
        <v>0</v>
      </c>
      <c r="V1666">
        <v>1</v>
      </c>
      <c r="W1666">
        <v>924</v>
      </c>
    </row>
    <row r="1667" spans="1:23" x14ac:dyDescent="0.25">
      <c r="H1667">
        <v>400</v>
      </c>
    </row>
    <row r="1668" spans="1:23" x14ac:dyDescent="0.25">
      <c r="A1668">
        <v>831</v>
      </c>
      <c r="B1668">
        <v>1557</v>
      </c>
      <c r="C1668" t="s">
        <v>2435</v>
      </c>
      <c r="D1668" t="s">
        <v>15</v>
      </c>
      <c r="E1668" t="s">
        <v>200</v>
      </c>
      <c r="F1668" t="s">
        <v>2436</v>
      </c>
      <c r="G1668" t="str">
        <f>"00214177"</f>
        <v>00214177</v>
      </c>
      <c r="H1668" t="s">
        <v>1236</v>
      </c>
      <c r="I1668">
        <v>0</v>
      </c>
      <c r="J1668">
        <v>50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25</v>
      </c>
      <c r="S1668">
        <v>175</v>
      </c>
      <c r="T1668">
        <v>0</v>
      </c>
      <c r="V1668">
        <v>0</v>
      </c>
      <c r="W1668" t="s">
        <v>2437</v>
      </c>
    </row>
    <row r="1669" spans="1:23" x14ac:dyDescent="0.25">
      <c r="H1669">
        <v>400</v>
      </c>
    </row>
    <row r="1670" spans="1:23" x14ac:dyDescent="0.25">
      <c r="A1670">
        <v>832</v>
      </c>
      <c r="B1670">
        <v>183</v>
      </c>
      <c r="C1670" t="s">
        <v>2438</v>
      </c>
      <c r="D1670" t="s">
        <v>2439</v>
      </c>
      <c r="E1670" t="s">
        <v>71</v>
      </c>
      <c r="F1670" t="s">
        <v>2440</v>
      </c>
      <c r="G1670" t="str">
        <f>"201406009466"</f>
        <v>201406009466</v>
      </c>
      <c r="H1670">
        <v>704</v>
      </c>
      <c r="I1670">
        <v>0</v>
      </c>
      <c r="J1670">
        <v>30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27</v>
      </c>
      <c r="S1670">
        <v>189</v>
      </c>
      <c r="T1670">
        <v>0</v>
      </c>
      <c r="V1670">
        <v>2</v>
      </c>
      <c r="W1670">
        <v>923</v>
      </c>
    </row>
    <row r="1671" spans="1:23" x14ac:dyDescent="0.25">
      <c r="H1671">
        <v>400</v>
      </c>
    </row>
    <row r="1672" spans="1:23" x14ac:dyDescent="0.25">
      <c r="A1672">
        <v>833</v>
      </c>
      <c r="B1672">
        <v>831</v>
      </c>
      <c r="C1672" t="s">
        <v>2441</v>
      </c>
      <c r="D1672" t="s">
        <v>2442</v>
      </c>
      <c r="E1672" t="s">
        <v>87</v>
      </c>
      <c r="F1672" t="s">
        <v>2443</v>
      </c>
      <c r="G1672" t="str">
        <f>"00216948"</f>
        <v>00216948</v>
      </c>
      <c r="H1672">
        <v>660</v>
      </c>
      <c r="I1672">
        <v>150</v>
      </c>
      <c r="J1672">
        <v>50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9</v>
      </c>
      <c r="S1672">
        <v>63</v>
      </c>
      <c r="T1672">
        <v>0</v>
      </c>
      <c r="V1672">
        <v>0</v>
      </c>
      <c r="W1672">
        <v>923</v>
      </c>
    </row>
    <row r="1673" spans="1:23" x14ac:dyDescent="0.25">
      <c r="H1673">
        <v>400</v>
      </c>
    </row>
    <row r="1674" spans="1:23" x14ac:dyDescent="0.25">
      <c r="A1674">
        <v>834</v>
      </c>
      <c r="B1674">
        <v>1074</v>
      </c>
      <c r="C1674" t="s">
        <v>2444</v>
      </c>
      <c r="D1674" t="s">
        <v>534</v>
      </c>
      <c r="E1674" t="s">
        <v>942</v>
      </c>
      <c r="F1674" t="s">
        <v>2445</v>
      </c>
      <c r="G1674" t="str">
        <f>"00216823"</f>
        <v>00216823</v>
      </c>
      <c r="H1674" t="s">
        <v>2171</v>
      </c>
      <c r="I1674">
        <v>0</v>
      </c>
      <c r="J1674">
        <v>50</v>
      </c>
      <c r="K1674">
        <v>0</v>
      </c>
      <c r="L1674">
        <v>0</v>
      </c>
      <c r="M1674">
        <v>70</v>
      </c>
      <c r="N1674">
        <v>0</v>
      </c>
      <c r="O1674">
        <v>0</v>
      </c>
      <c r="P1674">
        <v>0</v>
      </c>
      <c r="Q1674">
        <v>0</v>
      </c>
      <c r="R1674">
        <v>40</v>
      </c>
      <c r="S1674">
        <v>280</v>
      </c>
      <c r="T1674">
        <v>0</v>
      </c>
      <c r="V1674">
        <v>0</v>
      </c>
      <c r="W1674" t="s">
        <v>2446</v>
      </c>
    </row>
    <row r="1675" spans="1:23" x14ac:dyDescent="0.25">
      <c r="H1675">
        <v>400</v>
      </c>
    </row>
    <row r="1676" spans="1:23" x14ac:dyDescent="0.25">
      <c r="A1676">
        <v>835</v>
      </c>
      <c r="B1676">
        <v>437</v>
      </c>
      <c r="C1676" t="s">
        <v>2447</v>
      </c>
      <c r="D1676" t="s">
        <v>2448</v>
      </c>
      <c r="E1676" t="s">
        <v>15</v>
      </c>
      <c r="F1676" t="s">
        <v>2449</v>
      </c>
      <c r="G1676" t="str">
        <f>"00131133"</f>
        <v>00131133</v>
      </c>
      <c r="H1676">
        <v>891</v>
      </c>
      <c r="I1676">
        <v>0</v>
      </c>
      <c r="J1676">
        <v>30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V1676">
        <v>0</v>
      </c>
      <c r="W1676">
        <v>921</v>
      </c>
    </row>
    <row r="1677" spans="1:23" x14ac:dyDescent="0.25">
      <c r="H1677">
        <v>400</v>
      </c>
    </row>
    <row r="1678" spans="1:23" x14ac:dyDescent="0.25">
      <c r="A1678">
        <v>836</v>
      </c>
      <c r="B1678">
        <v>358</v>
      </c>
      <c r="C1678" t="s">
        <v>2450</v>
      </c>
      <c r="D1678" t="s">
        <v>33</v>
      </c>
      <c r="E1678" t="s">
        <v>15</v>
      </c>
      <c r="F1678" t="s">
        <v>2451</v>
      </c>
      <c r="G1678" t="str">
        <f>"201312000086"</f>
        <v>201312000086</v>
      </c>
      <c r="H1678">
        <v>572</v>
      </c>
      <c r="I1678">
        <v>150</v>
      </c>
      <c r="J1678">
        <v>30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24</v>
      </c>
      <c r="S1678">
        <v>168</v>
      </c>
      <c r="T1678">
        <v>0</v>
      </c>
      <c r="V1678">
        <v>0</v>
      </c>
      <c r="W1678">
        <v>920</v>
      </c>
    </row>
    <row r="1679" spans="1:23" x14ac:dyDescent="0.25">
      <c r="H1679">
        <v>400</v>
      </c>
    </row>
    <row r="1680" spans="1:23" x14ac:dyDescent="0.25">
      <c r="A1680">
        <v>837</v>
      </c>
      <c r="B1680">
        <v>1638</v>
      </c>
      <c r="C1680" t="s">
        <v>2452</v>
      </c>
      <c r="D1680" t="s">
        <v>2038</v>
      </c>
      <c r="E1680" t="s">
        <v>523</v>
      </c>
      <c r="F1680" t="s">
        <v>2453</v>
      </c>
      <c r="G1680" t="str">
        <f>"201412003920"</f>
        <v>201412003920</v>
      </c>
      <c r="H1680" t="s">
        <v>2454</v>
      </c>
      <c r="I1680">
        <v>0</v>
      </c>
      <c r="J1680">
        <v>30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V1680">
        <v>1</v>
      </c>
      <c r="W1680" t="s">
        <v>2455</v>
      </c>
    </row>
    <row r="1681" spans="1:23" x14ac:dyDescent="0.25">
      <c r="H1681">
        <v>400</v>
      </c>
    </row>
    <row r="1682" spans="1:23" x14ac:dyDescent="0.25">
      <c r="A1682">
        <v>838</v>
      </c>
      <c r="B1682">
        <v>443</v>
      </c>
      <c r="C1682" t="s">
        <v>2456</v>
      </c>
      <c r="D1682" t="s">
        <v>313</v>
      </c>
      <c r="E1682" t="s">
        <v>27</v>
      </c>
      <c r="F1682" t="s">
        <v>2457</v>
      </c>
      <c r="G1682" t="str">
        <f>"00216352"</f>
        <v>00216352</v>
      </c>
      <c r="H1682" t="s">
        <v>694</v>
      </c>
      <c r="I1682">
        <v>0</v>
      </c>
      <c r="J1682">
        <v>30</v>
      </c>
      <c r="K1682">
        <v>30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4</v>
      </c>
      <c r="S1682">
        <v>28</v>
      </c>
      <c r="T1682">
        <v>0</v>
      </c>
      <c r="V1682">
        <v>1</v>
      </c>
      <c r="W1682" t="s">
        <v>114</v>
      </c>
    </row>
    <row r="1683" spans="1:23" x14ac:dyDescent="0.25">
      <c r="H1683">
        <v>400</v>
      </c>
    </row>
    <row r="1684" spans="1:23" x14ac:dyDescent="0.25">
      <c r="A1684">
        <v>839</v>
      </c>
      <c r="B1684">
        <v>1288</v>
      </c>
      <c r="C1684" t="s">
        <v>2458</v>
      </c>
      <c r="D1684" t="s">
        <v>209</v>
      </c>
      <c r="E1684" t="s">
        <v>163</v>
      </c>
      <c r="F1684" t="s">
        <v>2459</v>
      </c>
      <c r="G1684" t="str">
        <f>"00216401"</f>
        <v>00216401</v>
      </c>
      <c r="H1684" t="s">
        <v>1236</v>
      </c>
      <c r="I1684">
        <v>0</v>
      </c>
      <c r="J1684">
        <v>30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27</v>
      </c>
      <c r="S1684">
        <v>189</v>
      </c>
      <c r="T1684">
        <v>0</v>
      </c>
      <c r="V1684">
        <v>2</v>
      </c>
      <c r="W1684" t="s">
        <v>2460</v>
      </c>
    </row>
    <row r="1685" spans="1:23" x14ac:dyDescent="0.25">
      <c r="H1685">
        <v>400</v>
      </c>
    </row>
    <row r="1686" spans="1:23" x14ac:dyDescent="0.25">
      <c r="A1686">
        <v>840</v>
      </c>
      <c r="B1686">
        <v>1047</v>
      </c>
      <c r="C1686" t="s">
        <v>2461</v>
      </c>
      <c r="D1686" t="s">
        <v>2462</v>
      </c>
      <c r="E1686" t="s">
        <v>52</v>
      </c>
      <c r="F1686" t="s">
        <v>2463</v>
      </c>
      <c r="G1686" t="str">
        <f>"00217944"</f>
        <v>00217944</v>
      </c>
      <c r="H1686">
        <v>847</v>
      </c>
      <c r="I1686">
        <v>0</v>
      </c>
      <c r="J1686">
        <v>70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V1686">
        <v>0</v>
      </c>
      <c r="W1686">
        <v>917</v>
      </c>
    </row>
    <row r="1687" spans="1:23" x14ac:dyDescent="0.25">
      <c r="H1687">
        <v>400</v>
      </c>
    </row>
    <row r="1688" spans="1:23" x14ac:dyDescent="0.25">
      <c r="A1688">
        <v>841</v>
      </c>
      <c r="B1688">
        <v>362</v>
      </c>
      <c r="C1688" t="s">
        <v>2464</v>
      </c>
      <c r="D1688" t="s">
        <v>50</v>
      </c>
      <c r="E1688" t="s">
        <v>200</v>
      </c>
      <c r="F1688" t="s">
        <v>2465</v>
      </c>
      <c r="G1688" t="str">
        <f>"00217160"</f>
        <v>00217160</v>
      </c>
      <c r="H1688">
        <v>715</v>
      </c>
      <c r="I1688">
        <v>150</v>
      </c>
      <c r="J1688">
        <v>50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V1688">
        <v>1</v>
      </c>
      <c r="W1688">
        <v>915</v>
      </c>
    </row>
    <row r="1689" spans="1:23" x14ac:dyDescent="0.25">
      <c r="H1689">
        <v>400</v>
      </c>
    </row>
    <row r="1690" spans="1:23" x14ac:dyDescent="0.25">
      <c r="A1690">
        <v>842</v>
      </c>
      <c r="B1690">
        <v>944</v>
      </c>
      <c r="C1690" t="s">
        <v>2466</v>
      </c>
      <c r="D1690" t="s">
        <v>2467</v>
      </c>
      <c r="E1690" t="s">
        <v>21</v>
      </c>
      <c r="F1690" t="s">
        <v>2468</v>
      </c>
      <c r="G1690" t="str">
        <f>"00115127"</f>
        <v>00115127</v>
      </c>
      <c r="H1690">
        <v>660</v>
      </c>
      <c r="I1690">
        <v>150</v>
      </c>
      <c r="J1690">
        <v>70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5</v>
      </c>
      <c r="S1690">
        <v>35</v>
      </c>
      <c r="T1690">
        <v>0</v>
      </c>
      <c r="V1690">
        <v>0</v>
      </c>
      <c r="W1690">
        <v>915</v>
      </c>
    </row>
    <row r="1691" spans="1:23" x14ac:dyDescent="0.25">
      <c r="H1691">
        <v>400</v>
      </c>
    </row>
    <row r="1692" spans="1:23" x14ac:dyDescent="0.25">
      <c r="A1692">
        <v>843</v>
      </c>
      <c r="B1692">
        <v>416</v>
      </c>
      <c r="C1692" t="s">
        <v>2469</v>
      </c>
      <c r="D1692" t="s">
        <v>2470</v>
      </c>
      <c r="E1692" t="s">
        <v>209</v>
      </c>
      <c r="F1692" t="s">
        <v>2471</v>
      </c>
      <c r="G1692" t="str">
        <f>"00217922"</f>
        <v>00217922</v>
      </c>
      <c r="H1692" t="s">
        <v>356</v>
      </c>
      <c r="I1692">
        <v>0</v>
      </c>
      <c r="J1692">
        <v>30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14</v>
      </c>
      <c r="S1692">
        <v>98</v>
      </c>
      <c r="T1692">
        <v>0</v>
      </c>
      <c r="V1692">
        <v>2</v>
      </c>
      <c r="W1692" t="s">
        <v>2472</v>
      </c>
    </row>
    <row r="1693" spans="1:23" x14ac:dyDescent="0.25">
      <c r="H1693">
        <v>400</v>
      </c>
    </row>
    <row r="1694" spans="1:23" x14ac:dyDescent="0.25">
      <c r="A1694">
        <v>844</v>
      </c>
      <c r="B1694">
        <v>1675</v>
      </c>
      <c r="C1694" t="s">
        <v>2473</v>
      </c>
      <c r="D1694" t="s">
        <v>2474</v>
      </c>
      <c r="E1694" t="s">
        <v>2475</v>
      </c>
      <c r="F1694" t="s">
        <v>2476</v>
      </c>
      <c r="G1694" t="str">
        <f>"201511042941"</f>
        <v>201511042941</v>
      </c>
      <c r="H1694">
        <v>770</v>
      </c>
      <c r="I1694">
        <v>0</v>
      </c>
      <c r="J1694">
        <v>30</v>
      </c>
      <c r="K1694">
        <v>30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12</v>
      </c>
      <c r="S1694">
        <v>84</v>
      </c>
      <c r="T1694">
        <v>0</v>
      </c>
      <c r="V1694">
        <v>0</v>
      </c>
      <c r="W1694">
        <v>914</v>
      </c>
    </row>
    <row r="1695" spans="1:23" x14ac:dyDescent="0.25">
      <c r="H1695">
        <v>400</v>
      </c>
    </row>
    <row r="1696" spans="1:23" x14ac:dyDescent="0.25">
      <c r="A1696">
        <v>845</v>
      </c>
      <c r="B1696">
        <v>257</v>
      </c>
      <c r="C1696" t="s">
        <v>2477</v>
      </c>
      <c r="D1696" t="s">
        <v>363</v>
      </c>
      <c r="E1696" t="s">
        <v>163</v>
      </c>
      <c r="F1696" t="s">
        <v>2478</v>
      </c>
      <c r="G1696" t="str">
        <f>"00216551"</f>
        <v>00216551</v>
      </c>
      <c r="H1696">
        <v>704</v>
      </c>
      <c r="I1696">
        <v>150</v>
      </c>
      <c r="J1696">
        <v>30</v>
      </c>
      <c r="K1696">
        <v>30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V1696">
        <v>0</v>
      </c>
      <c r="W1696">
        <v>914</v>
      </c>
    </row>
    <row r="1697" spans="1:23" x14ac:dyDescent="0.25">
      <c r="H1697">
        <v>400</v>
      </c>
    </row>
    <row r="1698" spans="1:23" x14ac:dyDescent="0.25">
      <c r="A1698">
        <v>846</v>
      </c>
      <c r="B1698">
        <v>742</v>
      </c>
      <c r="C1698" t="s">
        <v>2479</v>
      </c>
      <c r="D1698" t="s">
        <v>2439</v>
      </c>
      <c r="E1698" t="s">
        <v>200</v>
      </c>
      <c r="F1698" t="s">
        <v>2480</v>
      </c>
      <c r="G1698" t="str">
        <f>"00155002"</f>
        <v>00155002</v>
      </c>
      <c r="H1698">
        <v>550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52</v>
      </c>
      <c r="S1698">
        <v>364</v>
      </c>
      <c r="T1698">
        <v>0</v>
      </c>
      <c r="V1698">
        <v>0</v>
      </c>
      <c r="W1698">
        <v>914</v>
      </c>
    </row>
    <row r="1699" spans="1:23" x14ac:dyDescent="0.25">
      <c r="H1699">
        <v>400</v>
      </c>
    </row>
    <row r="1700" spans="1:23" x14ac:dyDescent="0.25">
      <c r="A1700">
        <v>847</v>
      </c>
      <c r="B1700">
        <v>1416</v>
      </c>
      <c r="C1700" t="s">
        <v>2481</v>
      </c>
      <c r="D1700" t="s">
        <v>683</v>
      </c>
      <c r="E1700" t="s">
        <v>71</v>
      </c>
      <c r="F1700" t="s">
        <v>2482</v>
      </c>
      <c r="G1700" t="str">
        <f>"00018411"</f>
        <v>00018411</v>
      </c>
      <c r="H1700" t="s">
        <v>710</v>
      </c>
      <c r="I1700">
        <v>0</v>
      </c>
      <c r="J1700">
        <v>50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V1700">
        <v>2</v>
      </c>
      <c r="W1700" t="s">
        <v>2483</v>
      </c>
    </row>
    <row r="1701" spans="1:23" x14ac:dyDescent="0.25">
      <c r="H1701">
        <v>400</v>
      </c>
    </row>
    <row r="1702" spans="1:23" x14ac:dyDescent="0.25">
      <c r="A1702">
        <v>848</v>
      </c>
      <c r="B1702">
        <v>296</v>
      </c>
      <c r="C1702" t="s">
        <v>2484</v>
      </c>
      <c r="D1702" t="s">
        <v>50</v>
      </c>
      <c r="E1702" t="s">
        <v>15</v>
      </c>
      <c r="F1702" t="s">
        <v>2485</v>
      </c>
      <c r="G1702" t="str">
        <f>"201412002650"</f>
        <v>201412002650</v>
      </c>
      <c r="H1702">
        <v>880</v>
      </c>
      <c r="I1702">
        <v>0</v>
      </c>
      <c r="J1702">
        <v>30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V1702">
        <v>0</v>
      </c>
      <c r="W1702">
        <v>910</v>
      </c>
    </row>
    <row r="1703" spans="1:23" x14ac:dyDescent="0.25">
      <c r="H1703">
        <v>400</v>
      </c>
    </row>
    <row r="1704" spans="1:23" x14ac:dyDescent="0.25">
      <c r="A1704">
        <v>849</v>
      </c>
      <c r="B1704">
        <v>7</v>
      </c>
      <c r="C1704" t="s">
        <v>2486</v>
      </c>
      <c r="D1704" t="s">
        <v>2487</v>
      </c>
      <c r="E1704" t="s">
        <v>163</v>
      </c>
      <c r="F1704" t="s">
        <v>2488</v>
      </c>
      <c r="G1704" t="str">
        <f>"201402006944"</f>
        <v>201402006944</v>
      </c>
      <c r="H1704">
        <v>880</v>
      </c>
      <c r="I1704">
        <v>0</v>
      </c>
      <c r="J1704">
        <v>30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V1704">
        <v>0</v>
      </c>
      <c r="W1704">
        <v>910</v>
      </c>
    </row>
    <row r="1705" spans="1:23" x14ac:dyDescent="0.25">
      <c r="H1705">
        <v>400</v>
      </c>
    </row>
    <row r="1706" spans="1:23" x14ac:dyDescent="0.25">
      <c r="A1706">
        <v>850</v>
      </c>
      <c r="B1706">
        <v>1024</v>
      </c>
      <c r="C1706" t="s">
        <v>2489</v>
      </c>
      <c r="D1706" t="s">
        <v>71</v>
      </c>
      <c r="E1706" t="s">
        <v>163</v>
      </c>
      <c r="F1706" t="s">
        <v>2490</v>
      </c>
      <c r="G1706" t="str">
        <f>"00194580"</f>
        <v>00194580</v>
      </c>
      <c r="H1706">
        <v>880</v>
      </c>
      <c r="I1706">
        <v>0</v>
      </c>
      <c r="J1706">
        <v>30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V1706">
        <v>0</v>
      </c>
      <c r="W1706">
        <v>910</v>
      </c>
    </row>
    <row r="1707" spans="1:23" x14ac:dyDescent="0.25">
      <c r="H1707">
        <v>400</v>
      </c>
    </row>
    <row r="1708" spans="1:23" x14ac:dyDescent="0.25">
      <c r="A1708">
        <v>851</v>
      </c>
      <c r="B1708">
        <v>468</v>
      </c>
      <c r="C1708" t="s">
        <v>2491</v>
      </c>
      <c r="D1708" t="s">
        <v>177</v>
      </c>
      <c r="E1708" t="s">
        <v>59</v>
      </c>
      <c r="F1708" t="s">
        <v>2492</v>
      </c>
      <c r="G1708" t="str">
        <f>"00104697"</f>
        <v>00104697</v>
      </c>
      <c r="H1708">
        <v>880</v>
      </c>
      <c r="I1708">
        <v>0</v>
      </c>
      <c r="J1708">
        <v>30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V1708">
        <v>0</v>
      </c>
      <c r="W1708">
        <v>910</v>
      </c>
    </row>
    <row r="1709" spans="1:23" x14ac:dyDescent="0.25">
      <c r="H1709">
        <v>400</v>
      </c>
    </row>
    <row r="1710" spans="1:23" x14ac:dyDescent="0.25">
      <c r="A1710">
        <v>852</v>
      </c>
      <c r="B1710">
        <v>1159</v>
      </c>
      <c r="C1710" t="s">
        <v>2493</v>
      </c>
      <c r="D1710" t="s">
        <v>563</v>
      </c>
      <c r="E1710" t="s">
        <v>2375</v>
      </c>
      <c r="F1710" t="s">
        <v>2494</v>
      </c>
      <c r="G1710" t="str">
        <f>"00213477"</f>
        <v>00213477</v>
      </c>
      <c r="H1710">
        <v>880</v>
      </c>
      <c r="I1710">
        <v>0</v>
      </c>
      <c r="J1710">
        <v>30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V1710">
        <v>0</v>
      </c>
      <c r="W1710">
        <v>910</v>
      </c>
    </row>
    <row r="1711" spans="1:23" x14ac:dyDescent="0.25">
      <c r="H1711">
        <v>400</v>
      </c>
    </row>
    <row r="1712" spans="1:23" x14ac:dyDescent="0.25">
      <c r="A1712">
        <v>853</v>
      </c>
      <c r="B1712">
        <v>823</v>
      </c>
      <c r="C1712" t="s">
        <v>2495</v>
      </c>
      <c r="D1712" t="s">
        <v>2496</v>
      </c>
      <c r="E1712" t="s">
        <v>71</v>
      </c>
      <c r="F1712" t="s">
        <v>2497</v>
      </c>
      <c r="G1712" t="str">
        <f>"00212192"</f>
        <v>00212192</v>
      </c>
      <c r="H1712" t="s">
        <v>643</v>
      </c>
      <c r="I1712">
        <v>0</v>
      </c>
      <c r="J1712">
        <v>30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24</v>
      </c>
      <c r="S1712">
        <v>168</v>
      </c>
      <c r="T1712">
        <v>0</v>
      </c>
      <c r="V1712">
        <v>0</v>
      </c>
      <c r="W1712" t="s">
        <v>459</v>
      </c>
    </row>
    <row r="1713" spans="1:23" x14ac:dyDescent="0.25">
      <c r="H1713">
        <v>400</v>
      </c>
    </row>
    <row r="1714" spans="1:23" x14ac:dyDescent="0.25">
      <c r="A1714">
        <v>854</v>
      </c>
      <c r="B1714">
        <v>646</v>
      </c>
      <c r="C1714" t="s">
        <v>2498</v>
      </c>
      <c r="D1714" t="s">
        <v>71</v>
      </c>
      <c r="E1714" t="s">
        <v>82</v>
      </c>
      <c r="F1714" t="s">
        <v>2499</v>
      </c>
      <c r="G1714" t="str">
        <f>"201406013026"</f>
        <v>201406013026</v>
      </c>
      <c r="H1714" t="s">
        <v>2500</v>
      </c>
      <c r="I1714">
        <v>0</v>
      </c>
      <c r="J1714">
        <v>30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38</v>
      </c>
      <c r="S1714">
        <v>266</v>
      </c>
      <c r="T1714">
        <v>0</v>
      </c>
      <c r="V1714">
        <v>0</v>
      </c>
      <c r="W1714" t="s">
        <v>2501</v>
      </c>
    </row>
    <row r="1715" spans="1:23" x14ac:dyDescent="0.25">
      <c r="H1715">
        <v>400</v>
      </c>
    </row>
    <row r="1716" spans="1:23" x14ac:dyDescent="0.25">
      <c r="A1716">
        <v>855</v>
      </c>
      <c r="B1716">
        <v>619</v>
      </c>
      <c r="C1716" t="s">
        <v>2502</v>
      </c>
      <c r="D1716" t="s">
        <v>144</v>
      </c>
      <c r="E1716" t="s">
        <v>209</v>
      </c>
      <c r="F1716" t="s">
        <v>2503</v>
      </c>
      <c r="G1716" t="str">
        <f>"201502001694"</f>
        <v>201502001694</v>
      </c>
      <c r="H1716">
        <v>836</v>
      </c>
      <c r="I1716">
        <v>0</v>
      </c>
      <c r="J1716">
        <v>70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V1716">
        <v>0</v>
      </c>
      <c r="W1716">
        <v>906</v>
      </c>
    </row>
    <row r="1717" spans="1:23" x14ac:dyDescent="0.25">
      <c r="H1717">
        <v>400</v>
      </c>
    </row>
    <row r="1718" spans="1:23" x14ac:dyDescent="0.25">
      <c r="A1718">
        <v>856</v>
      </c>
      <c r="B1718">
        <v>333</v>
      </c>
      <c r="C1718" t="s">
        <v>2504</v>
      </c>
      <c r="D1718" t="s">
        <v>38</v>
      </c>
      <c r="E1718" t="s">
        <v>15</v>
      </c>
      <c r="F1718" t="s">
        <v>2505</v>
      </c>
      <c r="G1718" t="str">
        <f>"201406015415"</f>
        <v>201406015415</v>
      </c>
      <c r="H1718">
        <v>539</v>
      </c>
      <c r="I1718">
        <v>0</v>
      </c>
      <c r="J1718">
        <v>30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48</v>
      </c>
      <c r="S1718">
        <v>336</v>
      </c>
      <c r="T1718">
        <v>0</v>
      </c>
      <c r="V1718">
        <v>0</v>
      </c>
      <c r="W1718">
        <v>905</v>
      </c>
    </row>
    <row r="1719" spans="1:23" x14ac:dyDescent="0.25">
      <c r="H1719">
        <v>400</v>
      </c>
    </row>
    <row r="1720" spans="1:23" x14ac:dyDescent="0.25">
      <c r="A1720">
        <v>857</v>
      </c>
      <c r="B1720">
        <v>744</v>
      </c>
      <c r="C1720" t="s">
        <v>2506</v>
      </c>
      <c r="D1720" t="s">
        <v>313</v>
      </c>
      <c r="E1720" t="s">
        <v>33</v>
      </c>
      <c r="F1720" t="s">
        <v>2507</v>
      </c>
      <c r="G1720" t="str">
        <f>"00003687"</f>
        <v>00003687</v>
      </c>
      <c r="H1720" t="s">
        <v>472</v>
      </c>
      <c r="I1720">
        <v>0</v>
      </c>
      <c r="J1720">
        <v>30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V1720">
        <v>0</v>
      </c>
      <c r="W1720" t="s">
        <v>2508</v>
      </c>
    </row>
    <row r="1721" spans="1:23" x14ac:dyDescent="0.25">
      <c r="H1721">
        <v>400</v>
      </c>
    </row>
    <row r="1722" spans="1:23" x14ac:dyDescent="0.25">
      <c r="A1722">
        <v>858</v>
      </c>
      <c r="B1722">
        <v>910</v>
      </c>
      <c r="C1722" t="s">
        <v>1319</v>
      </c>
      <c r="D1722" t="s">
        <v>26</v>
      </c>
      <c r="E1722" t="s">
        <v>1241</v>
      </c>
      <c r="F1722" t="s">
        <v>2509</v>
      </c>
      <c r="G1722" t="str">
        <f>"00150755"</f>
        <v>00150755</v>
      </c>
      <c r="H1722">
        <v>869</v>
      </c>
      <c r="I1722">
        <v>0</v>
      </c>
      <c r="J1722">
        <v>30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V1722">
        <v>0</v>
      </c>
      <c r="W1722">
        <v>899</v>
      </c>
    </row>
    <row r="1723" spans="1:23" x14ac:dyDescent="0.25">
      <c r="H1723">
        <v>400</v>
      </c>
    </row>
    <row r="1724" spans="1:23" x14ac:dyDescent="0.25">
      <c r="A1724">
        <v>859</v>
      </c>
      <c r="B1724">
        <v>1877</v>
      </c>
      <c r="C1724" t="s">
        <v>2510</v>
      </c>
      <c r="D1724" t="s">
        <v>14</v>
      </c>
      <c r="E1724" t="s">
        <v>59</v>
      </c>
      <c r="F1724" t="s">
        <v>2511</v>
      </c>
      <c r="G1724" t="str">
        <f>"00212489"</f>
        <v>00212489</v>
      </c>
      <c r="H1724">
        <v>825</v>
      </c>
      <c r="I1724">
        <v>0</v>
      </c>
      <c r="J1724">
        <v>70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V1724">
        <v>0</v>
      </c>
      <c r="W1724">
        <v>895</v>
      </c>
    </row>
    <row r="1725" spans="1:23" x14ac:dyDescent="0.25">
      <c r="H1725">
        <v>400</v>
      </c>
    </row>
    <row r="1726" spans="1:23" x14ac:dyDescent="0.25">
      <c r="A1726">
        <v>860</v>
      </c>
      <c r="B1726">
        <v>838</v>
      </c>
      <c r="C1726" t="s">
        <v>2512</v>
      </c>
      <c r="D1726" t="s">
        <v>401</v>
      </c>
      <c r="E1726" t="s">
        <v>408</v>
      </c>
      <c r="F1726" t="s">
        <v>2513</v>
      </c>
      <c r="G1726" t="str">
        <f>"00159983"</f>
        <v>00159983</v>
      </c>
      <c r="H1726">
        <v>715</v>
      </c>
      <c r="I1726">
        <v>150</v>
      </c>
      <c r="J1726">
        <v>30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V1726">
        <v>2</v>
      </c>
      <c r="W1726">
        <v>895</v>
      </c>
    </row>
    <row r="1727" spans="1:23" x14ac:dyDescent="0.25">
      <c r="H1727">
        <v>400</v>
      </c>
    </row>
    <row r="1728" spans="1:23" x14ac:dyDescent="0.25">
      <c r="A1728">
        <v>861</v>
      </c>
      <c r="B1728">
        <v>465</v>
      </c>
      <c r="C1728" t="s">
        <v>1494</v>
      </c>
      <c r="D1728" t="s">
        <v>778</v>
      </c>
      <c r="E1728" t="s">
        <v>158</v>
      </c>
      <c r="F1728" t="s">
        <v>2514</v>
      </c>
      <c r="G1728" t="str">
        <f>"00108788"</f>
        <v>00108788</v>
      </c>
      <c r="H1728" t="s">
        <v>710</v>
      </c>
      <c r="I1728">
        <v>0</v>
      </c>
      <c r="J1728">
        <v>30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V1728">
        <v>1</v>
      </c>
      <c r="W1728" t="s">
        <v>2515</v>
      </c>
    </row>
    <row r="1729" spans="1:23" x14ac:dyDescent="0.25">
      <c r="H1729" t="s">
        <v>76</v>
      </c>
    </row>
    <row r="1730" spans="1:23" x14ac:dyDescent="0.25">
      <c r="A1730">
        <v>862</v>
      </c>
      <c r="B1730">
        <v>1290</v>
      </c>
      <c r="C1730" t="s">
        <v>1901</v>
      </c>
      <c r="D1730" t="s">
        <v>20</v>
      </c>
      <c r="E1730" t="s">
        <v>106</v>
      </c>
      <c r="F1730" t="s">
        <v>2516</v>
      </c>
      <c r="G1730" t="str">
        <f>"00215392"</f>
        <v>00215392</v>
      </c>
      <c r="H1730" t="s">
        <v>710</v>
      </c>
      <c r="I1730">
        <v>0</v>
      </c>
      <c r="J1730">
        <v>30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V1730">
        <v>2</v>
      </c>
      <c r="W1730" t="s">
        <v>2515</v>
      </c>
    </row>
    <row r="1731" spans="1:23" x14ac:dyDescent="0.25">
      <c r="H1731">
        <v>400</v>
      </c>
    </row>
    <row r="1732" spans="1:23" x14ac:dyDescent="0.25">
      <c r="A1732">
        <v>863</v>
      </c>
      <c r="B1732">
        <v>1418</v>
      </c>
      <c r="C1732" t="s">
        <v>2517</v>
      </c>
      <c r="D1732" t="s">
        <v>50</v>
      </c>
      <c r="E1732" t="s">
        <v>27</v>
      </c>
      <c r="F1732" t="s">
        <v>2518</v>
      </c>
      <c r="G1732" t="str">
        <f>"00216971"</f>
        <v>00216971</v>
      </c>
      <c r="H1732" t="s">
        <v>2519</v>
      </c>
      <c r="I1732">
        <v>0</v>
      </c>
      <c r="J1732">
        <v>30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35</v>
      </c>
      <c r="S1732">
        <v>245</v>
      </c>
      <c r="T1732">
        <v>0</v>
      </c>
      <c r="V1732">
        <v>2</v>
      </c>
      <c r="W1732" t="s">
        <v>2520</v>
      </c>
    </row>
    <row r="1733" spans="1:23" x14ac:dyDescent="0.25">
      <c r="H1733">
        <v>400</v>
      </c>
    </row>
    <row r="1734" spans="1:23" x14ac:dyDescent="0.25">
      <c r="A1734">
        <v>864</v>
      </c>
      <c r="B1734">
        <v>595</v>
      </c>
      <c r="C1734" t="s">
        <v>2521</v>
      </c>
      <c r="D1734" t="s">
        <v>125</v>
      </c>
      <c r="E1734" t="s">
        <v>87</v>
      </c>
      <c r="F1734" t="s">
        <v>2522</v>
      </c>
      <c r="G1734" t="str">
        <f>"201504005195"</f>
        <v>201504005195</v>
      </c>
      <c r="H1734">
        <v>748</v>
      </c>
      <c r="I1734">
        <v>0</v>
      </c>
      <c r="J1734">
        <v>30</v>
      </c>
      <c r="K1734">
        <v>30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12</v>
      </c>
      <c r="S1734">
        <v>84</v>
      </c>
      <c r="T1734">
        <v>0</v>
      </c>
      <c r="V1734">
        <v>0</v>
      </c>
      <c r="W1734">
        <v>892</v>
      </c>
    </row>
    <row r="1735" spans="1:23" x14ac:dyDescent="0.25">
      <c r="H1735">
        <v>400</v>
      </c>
    </row>
    <row r="1736" spans="1:23" x14ac:dyDescent="0.25">
      <c r="A1736">
        <v>865</v>
      </c>
      <c r="B1736">
        <v>835</v>
      </c>
      <c r="C1736" t="s">
        <v>2523</v>
      </c>
      <c r="D1736" t="s">
        <v>2524</v>
      </c>
      <c r="E1736" t="s">
        <v>15</v>
      </c>
      <c r="F1736" t="s">
        <v>2525</v>
      </c>
      <c r="G1736" t="str">
        <f>"00215245"</f>
        <v>00215245</v>
      </c>
      <c r="H1736">
        <v>891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V1736">
        <v>2</v>
      </c>
      <c r="W1736">
        <v>891</v>
      </c>
    </row>
    <row r="1737" spans="1:23" x14ac:dyDescent="0.25">
      <c r="H1737" t="s">
        <v>76</v>
      </c>
    </row>
    <row r="1738" spans="1:23" x14ac:dyDescent="0.25">
      <c r="A1738">
        <v>866</v>
      </c>
      <c r="B1738">
        <v>13</v>
      </c>
      <c r="C1738" t="s">
        <v>2526</v>
      </c>
      <c r="D1738" t="s">
        <v>298</v>
      </c>
      <c r="E1738" t="s">
        <v>71</v>
      </c>
      <c r="F1738" t="s">
        <v>2527</v>
      </c>
      <c r="G1738" t="str">
        <f>"00121957"</f>
        <v>00121957</v>
      </c>
      <c r="H1738" t="s">
        <v>307</v>
      </c>
      <c r="I1738">
        <v>0</v>
      </c>
      <c r="J1738">
        <v>70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V1738">
        <v>1</v>
      </c>
      <c r="W1738" t="s">
        <v>2528</v>
      </c>
    </row>
    <row r="1739" spans="1:23" x14ac:dyDescent="0.25">
      <c r="H1739">
        <v>400</v>
      </c>
    </row>
    <row r="1740" spans="1:23" x14ac:dyDescent="0.25">
      <c r="A1740">
        <v>867</v>
      </c>
      <c r="B1740">
        <v>438</v>
      </c>
      <c r="C1740" t="s">
        <v>2529</v>
      </c>
      <c r="D1740" t="s">
        <v>738</v>
      </c>
      <c r="E1740" t="s">
        <v>291</v>
      </c>
      <c r="F1740" t="s">
        <v>2530</v>
      </c>
      <c r="G1740" t="str">
        <f>"00215485"</f>
        <v>00215485</v>
      </c>
      <c r="H1740">
        <v>660</v>
      </c>
      <c r="I1740">
        <v>0</v>
      </c>
      <c r="J1740">
        <v>30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27</v>
      </c>
      <c r="S1740">
        <v>189</v>
      </c>
      <c r="T1740">
        <v>0</v>
      </c>
      <c r="V1740">
        <v>1</v>
      </c>
      <c r="W1740">
        <v>879</v>
      </c>
    </row>
    <row r="1741" spans="1:23" x14ac:dyDescent="0.25">
      <c r="H1741">
        <v>400</v>
      </c>
    </row>
    <row r="1742" spans="1:23" x14ac:dyDescent="0.25">
      <c r="A1742">
        <v>868</v>
      </c>
      <c r="B1742">
        <v>1254</v>
      </c>
      <c r="C1742" t="s">
        <v>2531</v>
      </c>
      <c r="D1742" t="s">
        <v>49</v>
      </c>
      <c r="E1742" t="s">
        <v>2532</v>
      </c>
      <c r="F1742" t="s">
        <v>2533</v>
      </c>
      <c r="G1742" t="str">
        <f>"201507003071"</f>
        <v>201507003071</v>
      </c>
      <c r="H1742">
        <v>605</v>
      </c>
      <c r="I1742">
        <v>0</v>
      </c>
      <c r="J1742">
        <v>50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32</v>
      </c>
      <c r="S1742">
        <v>224</v>
      </c>
      <c r="T1742">
        <v>0</v>
      </c>
      <c r="V1742">
        <v>0</v>
      </c>
      <c r="W1742">
        <v>879</v>
      </c>
    </row>
    <row r="1743" spans="1:23" x14ac:dyDescent="0.25">
      <c r="H1743">
        <v>400</v>
      </c>
    </row>
    <row r="1744" spans="1:23" x14ac:dyDescent="0.25">
      <c r="A1744">
        <v>869</v>
      </c>
      <c r="B1744">
        <v>156</v>
      </c>
      <c r="C1744" t="s">
        <v>2534</v>
      </c>
      <c r="D1744" t="s">
        <v>26</v>
      </c>
      <c r="E1744" t="s">
        <v>59</v>
      </c>
      <c r="F1744" t="s">
        <v>2535</v>
      </c>
      <c r="G1744" t="str">
        <f>"00216552"</f>
        <v>00216552</v>
      </c>
      <c r="H1744">
        <v>715</v>
      </c>
      <c r="I1744">
        <v>0</v>
      </c>
      <c r="J1744">
        <v>30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19</v>
      </c>
      <c r="S1744">
        <v>133</v>
      </c>
      <c r="T1744">
        <v>0</v>
      </c>
      <c r="V1744">
        <v>0</v>
      </c>
      <c r="W1744">
        <v>878</v>
      </c>
    </row>
    <row r="1745" spans="1:23" x14ac:dyDescent="0.25">
      <c r="H1745">
        <v>400</v>
      </c>
    </row>
    <row r="1746" spans="1:23" x14ac:dyDescent="0.25">
      <c r="A1746">
        <v>870</v>
      </c>
      <c r="B1746">
        <v>111</v>
      </c>
      <c r="C1746" t="s">
        <v>2536</v>
      </c>
      <c r="D1746" t="s">
        <v>2537</v>
      </c>
      <c r="E1746" t="s">
        <v>209</v>
      </c>
      <c r="F1746" t="s">
        <v>2538</v>
      </c>
      <c r="G1746" t="str">
        <f>"00216666"</f>
        <v>00216666</v>
      </c>
      <c r="H1746">
        <v>847</v>
      </c>
      <c r="I1746">
        <v>0</v>
      </c>
      <c r="J1746">
        <v>30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V1746">
        <v>0</v>
      </c>
      <c r="W1746">
        <v>877</v>
      </c>
    </row>
    <row r="1747" spans="1:23" x14ac:dyDescent="0.25">
      <c r="H1747" t="s">
        <v>76</v>
      </c>
    </row>
    <row r="1748" spans="1:23" x14ac:dyDescent="0.25">
      <c r="A1748">
        <v>871</v>
      </c>
      <c r="B1748">
        <v>1776</v>
      </c>
      <c r="C1748" t="s">
        <v>2539</v>
      </c>
      <c r="D1748" t="s">
        <v>59</v>
      </c>
      <c r="E1748" t="s">
        <v>408</v>
      </c>
      <c r="F1748" t="s">
        <v>2540</v>
      </c>
      <c r="G1748" t="str">
        <f>"00217376"</f>
        <v>00217376</v>
      </c>
      <c r="H1748">
        <v>825</v>
      </c>
      <c r="I1748">
        <v>0</v>
      </c>
      <c r="J1748">
        <v>50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V1748">
        <v>2</v>
      </c>
      <c r="W1748">
        <v>875</v>
      </c>
    </row>
    <row r="1749" spans="1:23" x14ac:dyDescent="0.25">
      <c r="H1749" t="s">
        <v>76</v>
      </c>
    </row>
    <row r="1750" spans="1:23" x14ac:dyDescent="0.25">
      <c r="A1750">
        <v>872</v>
      </c>
      <c r="B1750">
        <v>1465</v>
      </c>
      <c r="C1750" t="s">
        <v>2541</v>
      </c>
      <c r="D1750" t="s">
        <v>158</v>
      </c>
      <c r="E1750" t="s">
        <v>1362</v>
      </c>
      <c r="F1750" t="s">
        <v>2542</v>
      </c>
      <c r="G1750" t="str">
        <f>"00215109"</f>
        <v>00215109</v>
      </c>
      <c r="H1750">
        <v>825</v>
      </c>
      <c r="I1750">
        <v>0</v>
      </c>
      <c r="J1750">
        <v>50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V1750">
        <v>0</v>
      </c>
      <c r="W1750">
        <v>875</v>
      </c>
    </row>
    <row r="1751" spans="1:23" x14ac:dyDescent="0.25">
      <c r="H1751" t="s">
        <v>76</v>
      </c>
    </row>
    <row r="1752" spans="1:23" x14ac:dyDescent="0.25">
      <c r="A1752">
        <v>873</v>
      </c>
      <c r="B1752">
        <v>1926</v>
      </c>
      <c r="C1752" t="s">
        <v>969</v>
      </c>
      <c r="D1752" t="s">
        <v>2543</v>
      </c>
      <c r="E1752" t="s">
        <v>15</v>
      </c>
      <c r="F1752" t="s">
        <v>2544</v>
      </c>
      <c r="G1752" t="str">
        <f>"00185590"</f>
        <v>00185590</v>
      </c>
      <c r="H1752" t="s">
        <v>1209</v>
      </c>
      <c r="I1752">
        <v>0</v>
      </c>
      <c r="J1752">
        <v>30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24</v>
      </c>
      <c r="S1752">
        <v>168</v>
      </c>
      <c r="T1752">
        <v>0</v>
      </c>
      <c r="V1752">
        <v>2</v>
      </c>
      <c r="W1752" t="s">
        <v>472</v>
      </c>
    </row>
    <row r="1753" spans="1:23" x14ac:dyDescent="0.25">
      <c r="H1753">
        <v>400</v>
      </c>
    </row>
    <row r="1754" spans="1:23" x14ac:dyDescent="0.25">
      <c r="A1754">
        <v>874</v>
      </c>
      <c r="B1754">
        <v>851</v>
      </c>
      <c r="C1754" t="s">
        <v>2545</v>
      </c>
      <c r="D1754" t="s">
        <v>157</v>
      </c>
      <c r="E1754" t="s">
        <v>15</v>
      </c>
      <c r="F1754" t="s">
        <v>2546</v>
      </c>
      <c r="G1754" t="str">
        <f>"00215243"</f>
        <v>00215243</v>
      </c>
      <c r="H1754" t="s">
        <v>1450</v>
      </c>
      <c r="I1754">
        <v>0</v>
      </c>
      <c r="J1754">
        <v>30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35</v>
      </c>
      <c r="S1754">
        <v>245</v>
      </c>
      <c r="T1754">
        <v>0</v>
      </c>
      <c r="V1754">
        <v>0</v>
      </c>
      <c r="W1754" t="s">
        <v>472</v>
      </c>
    </row>
    <row r="1755" spans="1:23" x14ac:dyDescent="0.25">
      <c r="H1755">
        <v>400</v>
      </c>
    </row>
    <row r="1756" spans="1:23" x14ac:dyDescent="0.25">
      <c r="A1756">
        <v>875</v>
      </c>
      <c r="B1756">
        <v>225</v>
      </c>
      <c r="C1756" t="s">
        <v>2547</v>
      </c>
      <c r="D1756" t="s">
        <v>82</v>
      </c>
      <c r="E1756" t="s">
        <v>59</v>
      </c>
      <c r="F1756" t="s">
        <v>2548</v>
      </c>
      <c r="G1756" t="str">
        <f>"201303000292"</f>
        <v>201303000292</v>
      </c>
      <c r="H1756" t="s">
        <v>2549</v>
      </c>
      <c r="I1756">
        <v>0</v>
      </c>
      <c r="J1756">
        <v>70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V1756">
        <v>0</v>
      </c>
      <c r="W1756" t="s">
        <v>2550</v>
      </c>
    </row>
    <row r="1757" spans="1:23" x14ac:dyDescent="0.25">
      <c r="H1757" t="s">
        <v>76</v>
      </c>
    </row>
    <row r="1758" spans="1:23" x14ac:dyDescent="0.25">
      <c r="A1758">
        <v>876</v>
      </c>
      <c r="B1758">
        <v>1728</v>
      </c>
      <c r="C1758" t="s">
        <v>2551</v>
      </c>
      <c r="D1758" t="s">
        <v>27</v>
      </c>
      <c r="E1758" t="s">
        <v>71</v>
      </c>
      <c r="F1758" t="s">
        <v>2552</v>
      </c>
      <c r="G1758" t="str">
        <f>"00216027"</f>
        <v>00216027</v>
      </c>
      <c r="H1758">
        <v>792</v>
      </c>
      <c r="I1758">
        <v>0</v>
      </c>
      <c r="J1758">
        <v>50</v>
      </c>
      <c r="K1758">
        <v>30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V1758">
        <v>0</v>
      </c>
      <c r="W1758">
        <v>872</v>
      </c>
    </row>
    <row r="1759" spans="1:23" x14ac:dyDescent="0.25">
      <c r="H1759">
        <v>400</v>
      </c>
    </row>
    <row r="1760" spans="1:23" x14ac:dyDescent="0.25">
      <c r="A1760">
        <v>877</v>
      </c>
      <c r="B1760">
        <v>807</v>
      </c>
      <c r="C1760" t="s">
        <v>2553</v>
      </c>
      <c r="D1760" t="s">
        <v>26</v>
      </c>
      <c r="E1760" t="s">
        <v>27</v>
      </c>
      <c r="F1760" t="s">
        <v>2554</v>
      </c>
      <c r="G1760" t="str">
        <f>"00215361"</f>
        <v>00215361</v>
      </c>
      <c r="H1760" t="s">
        <v>2555</v>
      </c>
      <c r="I1760">
        <v>0</v>
      </c>
      <c r="J1760">
        <v>50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36</v>
      </c>
      <c r="S1760">
        <v>252</v>
      </c>
      <c r="T1760">
        <v>0</v>
      </c>
      <c r="V1760">
        <v>0</v>
      </c>
      <c r="W1760" t="s">
        <v>2556</v>
      </c>
    </row>
    <row r="1761" spans="1:23" x14ac:dyDescent="0.25">
      <c r="H1761">
        <v>400</v>
      </c>
    </row>
    <row r="1762" spans="1:23" x14ac:dyDescent="0.25">
      <c r="A1762">
        <v>878</v>
      </c>
      <c r="B1762">
        <v>1059</v>
      </c>
      <c r="C1762" t="s">
        <v>2557</v>
      </c>
      <c r="D1762" t="s">
        <v>313</v>
      </c>
      <c r="E1762" t="s">
        <v>408</v>
      </c>
      <c r="F1762" t="s">
        <v>2558</v>
      </c>
      <c r="G1762" t="str">
        <f>"00214977"</f>
        <v>00214977</v>
      </c>
      <c r="H1762">
        <v>748</v>
      </c>
      <c r="I1762">
        <v>0</v>
      </c>
      <c r="J1762">
        <v>70</v>
      </c>
      <c r="K1762">
        <v>50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V1762">
        <v>1</v>
      </c>
      <c r="W1762">
        <v>868</v>
      </c>
    </row>
    <row r="1763" spans="1:23" x14ac:dyDescent="0.25">
      <c r="H1763">
        <v>400</v>
      </c>
    </row>
    <row r="1764" spans="1:23" x14ac:dyDescent="0.25">
      <c r="A1764">
        <v>879</v>
      </c>
      <c r="B1764">
        <v>1237</v>
      </c>
      <c r="C1764" t="s">
        <v>2559</v>
      </c>
      <c r="D1764" t="s">
        <v>782</v>
      </c>
      <c r="E1764" t="s">
        <v>610</v>
      </c>
      <c r="F1764" t="s">
        <v>2560</v>
      </c>
      <c r="G1764" t="str">
        <f>"201504003756"</f>
        <v>201504003756</v>
      </c>
      <c r="H1764">
        <v>836</v>
      </c>
      <c r="I1764">
        <v>0</v>
      </c>
      <c r="J1764">
        <v>30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V1764">
        <v>0</v>
      </c>
      <c r="W1764">
        <v>866</v>
      </c>
    </row>
    <row r="1765" spans="1:23" x14ac:dyDescent="0.25">
      <c r="H1765">
        <v>400</v>
      </c>
    </row>
    <row r="1766" spans="1:23" x14ac:dyDescent="0.25">
      <c r="A1766">
        <v>880</v>
      </c>
      <c r="B1766">
        <v>745</v>
      </c>
      <c r="C1766" t="s">
        <v>2561</v>
      </c>
      <c r="D1766" t="s">
        <v>27</v>
      </c>
      <c r="E1766" t="s">
        <v>163</v>
      </c>
      <c r="F1766" t="s">
        <v>2562</v>
      </c>
      <c r="G1766" t="str">
        <f>"00141730"</f>
        <v>00141730</v>
      </c>
      <c r="H1766">
        <v>836</v>
      </c>
      <c r="I1766">
        <v>0</v>
      </c>
      <c r="J1766">
        <v>30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V1766">
        <v>0</v>
      </c>
      <c r="W1766">
        <v>866</v>
      </c>
    </row>
    <row r="1767" spans="1:23" x14ac:dyDescent="0.25">
      <c r="H1767">
        <v>400</v>
      </c>
    </row>
    <row r="1768" spans="1:23" x14ac:dyDescent="0.25">
      <c r="A1768">
        <v>881</v>
      </c>
      <c r="B1768">
        <v>1033</v>
      </c>
      <c r="C1768" t="s">
        <v>722</v>
      </c>
      <c r="D1768" t="s">
        <v>59</v>
      </c>
      <c r="E1768" t="s">
        <v>27</v>
      </c>
      <c r="F1768" t="s">
        <v>2563</v>
      </c>
      <c r="G1768" t="str">
        <f>"00196701"</f>
        <v>00196701</v>
      </c>
      <c r="H1768">
        <v>660</v>
      </c>
      <c r="I1768">
        <v>0</v>
      </c>
      <c r="J1768">
        <v>50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22</v>
      </c>
      <c r="S1768">
        <v>154</v>
      </c>
      <c r="T1768">
        <v>0</v>
      </c>
      <c r="V1768">
        <v>0</v>
      </c>
      <c r="W1768">
        <v>864</v>
      </c>
    </row>
    <row r="1769" spans="1:23" x14ac:dyDescent="0.25">
      <c r="H1769">
        <v>400</v>
      </c>
    </row>
    <row r="1770" spans="1:23" x14ac:dyDescent="0.25">
      <c r="A1770">
        <v>882</v>
      </c>
      <c r="B1770">
        <v>197</v>
      </c>
      <c r="C1770" t="s">
        <v>2564</v>
      </c>
      <c r="D1770" t="s">
        <v>2565</v>
      </c>
      <c r="E1770" t="s">
        <v>1805</v>
      </c>
      <c r="F1770" t="s">
        <v>2566</v>
      </c>
      <c r="G1770" t="str">
        <f>"00202388"</f>
        <v>00202388</v>
      </c>
      <c r="H1770">
        <v>660</v>
      </c>
      <c r="I1770">
        <v>0</v>
      </c>
      <c r="J1770">
        <v>70</v>
      </c>
      <c r="K1770">
        <v>0</v>
      </c>
      <c r="L1770">
        <v>0</v>
      </c>
      <c r="M1770">
        <v>50</v>
      </c>
      <c r="N1770">
        <v>0</v>
      </c>
      <c r="O1770">
        <v>0</v>
      </c>
      <c r="P1770">
        <v>0</v>
      </c>
      <c r="Q1770">
        <v>0</v>
      </c>
      <c r="R1770">
        <v>12</v>
      </c>
      <c r="S1770">
        <v>84</v>
      </c>
      <c r="T1770">
        <v>0</v>
      </c>
      <c r="V1770">
        <v>0</v>
      </c>
      <c r="W1770">
        <v>864</v>
      </c>
    </row>
    <row r="1771" spans="1:23" x14ac:dyDescent="0.25">
      <c r="H1771">
        <v>400</v>
      </c>
    </row>
    <row r="1772" spans="1:23" x14ac:dyDescent="0.25">
      <c r="A1772">
        <v>883</v>
      </c>
      <c r="B1772">
        <v>1295</v>
      </c>
      <c r="C1772" t="s">
        <v>2567</v>
      </c>
      <c r="D1772" t="s">
        <v>15</v>
      </c>
      <c r="E1772" t="s">
        <v>49</v>
      </c>
      <c r="F1772" t="s">
        <v>2568</v>
      </c>
      <c r="G1772" t="str">
        <f>"201406001670"</f>
        <v>201406001670</v>
      </c>
      <c r="H1772">
        <v>660</v>
      </c>
      <c r="I1772">
        <v>0</v>
      </c>
      <c r="J1772">
        <v>30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24</v>
      </c>
      <c r="S1772">
        <v>168</v>
      </c>
      <c r="T1772">
        <v>0</v>
      </c>
      <c r="V1772">
        <v>0</v>
      </c>
      <c r="W1772">
        <v>858</v>
      </c>
    </row>
    <row r="1773" spans="1:23" x14ac:dyDescent="0.25">
      <c r="H1773" t="s">
        <v>76</v>
      </c>
    </row>
    <row r="1774" spans="1:23" x14ac:dyDescent="0.25">
      <c r="A1774">
        <v>884</v>
      </c>
      <c r="B1774">
        <v>1291</v>
      </c>
      <c r="C1774" t="s">
        <v>2569</v>
      </c>
      <c r="D1774" t="s">
        <v>15</v>
      </c>
      <c r="E1774" t="s">
        <v>15</v>
      </c>
      <c r="F1774" t="s">
        <v>2570</v>
      </c>
      <c r="G1774" t="str">
        <f>"00214103"</f>
        <v>00214103</v>
      </c>
      <c r="H1774" t="s">
        <v>356</v>
      </c>
      <c r="I1774">
        <v>0</v>
      </c>
      <c r="J1774">
        <v>70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V1774">
        <v>0</v>
      </c>
      <c r="W1774" t="s">
        <v>2571</v>
      </c>
    </row>
    <row r="1775" spans="1:23" x14ac:dyDescent="0.25">
      <c r="H1775">
        <v>400</v>
      </c>
    </row>
    <row r="1776" spans="1:23" x14ac:dyDescent="0.25">
      <c r="A1776">
        <v>885</v>
      </c>
      <c r="B1776">
        <v>97</v>
      </c>
      <c r="C1776" t="s">
        <v>2572</v>
      </c>
      <c r="D1776" t="s">
        <v>744</v>
      </c>
      <c r="E1776" t="s">
        <v>71</v>
      </c>
      <c r="F1776" t="s">
        <v>2573</v>
      </c>
      <c r="G1776" t="str">
        <f>"201511013925"</f>
        <v>201511013925</v>
      </c>
      <c r="H1776">
        <v>825</v>
      </c>
      <c r="I1776">
        <v>0</v>
      </c>
      <c r="J1776">
        <v>30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V1776">
        <v>0</v>
      </c>
      <c r="W1776">
        <v>855</v>
      </c>
    </row>
    <row r="1777" spans="1:23" x14ac:dyDescent="0.25">
      <c r="H1777">
        <v>400</v>
      </c>
    </row>
    <row r="1778" spans="1:23" x14ac:dyDescent="0.25">
      <c r="A1778">
        <v>886</v>
      </c>
      <c r="B1778">
        <v>1865</v>
      </c>
      <c r="C1778" t="s">
        <v>2574</v>
      </c>
      <c r="D1778" t="s">
        <v>111</v>
      </c>
      <c r="E1778" t="s">
        <v>241</v>
      </c>
      <c r="F1778" t="s">
        <v>2575</v>
      </c>
      <c r="G1778" t="str">
        <f>"00213248"</f>
        <v>00213248</v>
      </c>
      <c r="H1778">
        <v>825</v>
      </c>
      <c r="I1778">
        <v>0</v>
      </c>
      <c r="J1778">
        <v>30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V1778">
        <v>0</v>
      </c>
      <c r="W1778">
        <v>855</v>
      </c>
    </row>
    <row r="1779" spans="1:23" x14ac:dyDescent="0.25">
      <c r="H1779">
        <v>400</v>
      </c>
    </row>
    <row r="1780" spans="1:23" x14ac:dyDescent="0.25">
      <c r="A1780">
        <v>887</v>
      </c>
      <c r="B1780">
        <v>1556</v>
      </c>
      <c r="C1780" t="s">
        <v>2576</v>
      </c>
      <c r="D1780" t="s">
        <v>32</v>
      </c>
      <c r="E1780" t="s">
        <v>27</v>
      </c>
      <c r="F1780" t="s">
        <v>2577</v>
      </c>
      <c r="G1780" t="str">
        <f>"00194703"</f>
        <v>00194703</v>
      </c>
      <c r="H1780">
        <v>792</v>
      </c>
      <c r="I1780">
        <v>0</v>
      </c>
      <c r="J1780">
        <v>30</v>
      </c>
      <c r="K1780">
        <v>30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V1780">
        <v>0</v>
      </c>
      <c r="W1780">
        <v>852</v>
      </c>
    </row>
    <row r="1781" spans="1:23" x14ac:dyDescent="0.25">
      <c r="H1781">
        <v>400</v>
      </c>
    </row>
    <row r="1782" spans="1:23" x14ac:dyDescent="0.25">
      <c r="A1782">
        <v>888</v>
      </c>
      <c r="B1782">
        <v>421</v>
      </c>
      <c r="C1782" t="s">
        <v>2578</v>
      </c>
      <c r="D1782" t="s">
        <v>2579</v>
      </c>
      <c r="E1782" t="s">
        <v>45</v>
      </c>
      <c r="F1782" t="s">
        <v>2580</v>
      </c>
      <c r="G1782" t="str">
        <f>"00155746"</f>
        <v>00155746</v>
      </c>
      <c r="H1782" t="s">
        <v>2581</v>
      </c>
      <c r="I1782">
        <v>0</v>
      </c>
      <c r="J1782">
        <v>30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12</v>
      </c>
      <c r="S1782">
        <v>84</v>
      </c>
      <c r="T1782">
        <v>0</v>
      </c>
      <c r="V1782">
        <v>1</v>
      </c>
      <c r="W1782" t="s">
        <v>2582</v>
      </c>
    </row>
    <row r="1783" spans="1:23" x14ac:dyDescent="0.25">
      <c r="H1783">
        <v>400</v>
      </c>
    </row>
    <row r="1784" spans="1:23" x14ac:dyDescent="0.25">
      <c r="A1784">
        <v>889</v>
      </c>
      <c r="B1784">
        <v>1735</v>
      </c>
      <c r="C1784" t="s">
        <v>2583</v>
      </c>
      <c r="D1784" t="s">
        <v>2584</v>
      </c>
      <c r="E1784" t="s">
        <v>263</v>
      </c>
      <c r="F1784" t="s">
        <v>2585</v>
      </c>
      <c r="G1784" t="str">
        <f>"00197439"</f>
        <v>00197439</v>
      </c>
      <c r="H1784">
        <v>627</v>
      </c>
      <c r="I1784">
        <v>0</v>
      </c>
      <c r="J1784">
        <v>30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27</v>
      </c>
      <c r="S1784">
        <v>189</v>
      </c>
      <c r="T1784">
        <v>0</v>
      </c>
      <c r="V1784">
        <v>0</v>
      </c>
      <c r="W1784">
        <v>846</v>
      </c>
    </row>
    <row r="1785" spans="1:23" x14ac:dyDescent="0.25">
      <c r="H1785">
        <v>400</v>
      </c>
    </row>
    <row r="1786" spans="1:23" x14ac:dyDescent="0.25">
      <c r="A1786">
        <v>890</v>
      </c>
      <c r="B1786">
        <v>1575</v>
      </c>
      <c r="C1786" t="s">
        <v>2586</v>
      </c>
      <c r="D1786" t="s">
        <v>132</v>
      </c>
      <c r="E1786" t="s">
        <v>241</v>
      </c>
      <c r="F1786" t="s">
        <v>2587</v>
      </c>
      <c r="G1786" t="str">
        <f>"201303000645"</f>
        <v>201303000645</v>
      </c>
      <c r="H1786">
        <v>759</v>
      </c>
      <c r="I1786">
        <v>0</v>
      </c>
      <c r="J1786">
        <v>30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8</v>
      </c>
      <c r="S1786">
        <v>56</v>
      </c>
      <c r="T1786">
        <v>0</v>
      </c>
      <c r="V1786">
        <v>0</v>
      </c>
      <c r="W1786">
        <v>845</v>
      </c>
    </row>
    <row r="1787" spans="1:23" x14ac:dyDescent="0.25">
      <c r="H1787">
        <v>400</v>
      </c>
    </row>
    <row r="1788" spans="1:23" x14ac:dyDescent="0.25">
      <c r="A1788">
        <v>891</v>
      </c>
      <c r="B1788">
        <v>741</v>
      </c>
      <c r="C1788" t="s">
        <v>2588</v>
      </c>
      <c r="D1788" t="s">
        <v>15</v>
      </c>
      <c r="E1788" t="s">
        <v>163</v>
      </c>
      <c r="F1788" t="s">
        <v>2589</v>
      </c>
      <c r="G1788" t="str">
        <f>"00152199"</f>
        <v>00152199</v>
      </c>
      <c r="H1788">
        <v>660</v>
      </c>
      <c r="I1788">
        <v>150</v>
      </c>
      <c r="J1788">
        <v>30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V1788">
        <v>0</v>
      </c>
      <c r="W1788">
        <v>840</v>
      </c>
    </row>
    <row r="1789" spans="1:23" x14ac:dyDescent="0.25">
      <c r="H1789" t="s">
        <v>76</v>
      </c>
    </row>
    <row r="1790" spans="1:23" x14ac:dyDescent="0.25">
      <c r="A1790">
        <v>892</v>
      </c>
      <c r="B1790">
        <v>1022</v>
      </c>
      <c r="C1790" t="s">
        <v>2590</v>
      </c>
      <c r="D1790" t="s">
        <v>1546</v>
      </c>
      <c r="E1790" t="s">
        <v>21</v>
      </c>
      <c r="F1790" t="s">
        <v>2591</v>
      </c>
      <c r="G1790" t="str">
        <f>"201511017001"</f>
        <v>201511017001</v>
      </c>
      <c r="H1790">
        <v>704</v>
      </c>
      <c r="I1790">
        <v>0</v>
      </c>
      <c r="J1790">
        <v>30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15</v>
      </c>
      <c r="S1790">
        <v>105</v>
      </c>
      <c r="T1790">
        <v>0</v>
      </c>
      <c r="V1790">
        <v>0</v>
      </c>
      <c r="W1790">
        <v>839</v>
      </c>
    </row>
    <row r="1791" spans="1:23" x14ac:dyDescent="0.25">
      <c r="H1791">
        <v>400</v>
      </c>
    </row>
    <row r="1792" spans="1:23" x14ac:dyDescent="0.25">
      <c r="A1792">
        <v>893</v>
      </c>
      <c r="B1792">
        <v>650</v>
      </c>
      <c r="C1792" t="s">
        <v>1407</v>
      </c>
      <c r="D1792" t="s">
        <v>74</v>
      </c>
      <c r="E1792" t="s">
        <v>49</v>
      </c>
      <c r="F1792" t="s">
        <v>2592</v>
      </c>
      <c r="G1792" t="str">
        <f>"201504003731"</f>
        <v>201504003731</v>
      </c>
      <c r="H1792" t="s">
        <v>868</v>
      </c>
      <c r="I1792">
        <v>0</v>
      </c>
      <c r="J1792">
        <v>30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V1792">
        <v>0</v>
      </c>
      <c r="W1792" t="s">
        <v>2593</v>
      </c>
    </row>
    <row r="1793" spans="1:23" x14ac:dyDescent="0.25">
      <c r="H1793">
        <v>400</v>
      </c>
    </row>
    <row r="1794" spans="1:23" x14ac:dyDescent="0.25">
      <c r="A1794">
        <v>894</v>
      </c>
      <c r="B1794">
        <v>723</v>
      </c>
      <c r="C1794" t="s">
        <v>2594</v>
      </c>
      <c r="D1794" t="s">
        <v>610</v>
      </c>
      <c r="E1794" t="s">
        <v>21</v>
      </c>
      <c r="F1794" t="s">
        <v>2595</v>
      </c>
      <c r="G1794" t="str">
        <f>"00216397"</f>
        <v>00216397</v>
      </c>
      <c r="H1794" t="s">
        <v>2596</v>
      </c>
      <c r="I1794">
        <v>0</v>
      </c>
      <c r="J1794">
        <v>30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24</v>
      </c>
      <c r="S1794">
        <v>168</v>
      </c>
      <c r="T1794">
        <v>0</v>
      </c>
      <c r="V1794">
        <v>0</v>
      </c>
      <c r="W1794" t="s">
        <v>2597</v>
      </c>
    </row>
    <row r="1795" spans="1:23" x14ac:dyDescent="0.25">
      <c r="H1795">
        <v>400</v>
      </c>
    </row>
    <row r="1796" spans="1:23" x14ac:dyDescent="0.25">
      <c r="A1796">
        <v>895</v>
      </c>
      <c r="B1796">
        <v>77</v>
      </c>
      <c r="C1796" t="s">
        <v>2598</v>
      </c>
      <c r="D1796" t="s">
        <v>59</v>
      </c>
      <c r="E1796" t="s">
        <v>408</v>
      </c>
      <c r="F1796" t="s">
        <v>2599</v>
      </c>
      <c r="G1796" t="str">
        <f>"201402001355"</f>
        <v>201402001355</v>
      </c>
      <c r="H1796">
        <v>770</v>
      </c>
      <c r="I1796">
        <v>0</v>
      </c>
      <c r="J1796">
        <v>0</v>
      </c>
      <c r="K1796">
        <v>0</v>
      </c>
      <c r="L1796">
        <v>50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V1796">
        <v>0</v>
      </c>
      <c r="W1796">
        <v>820</v>
      </c>
    </row>
    <row r="1797" spans="1:23" x14ac:dyDescent="0.25">
      <c r="H1797">
        <v>400</v>
      </c>
    </row>
    <row r="1798" spans="1:23" x14ac:dyDescent="0.25">
      <c r="A1798">
        <v>896</v>
      </c>
      <c r="B1798">
        <v>920</v>
      </c>
      <c r="C1798" t="s">
        <v>2600</v>
      </c>
      <c r="D1798" t="s">
        <v>59</v>
      </c>
      <c r="E1798" t="s">
        <v>467</v>
      </c>
      <c r="F1798" t="s">
        <v>2601</v>
      </c>
      <c r="G1798" t="str">
        <f>"201604001863"</f>
        <v>201604001863</v>
      </c>
      <c r="H1798" t="s">
        <v>2602</v>
      </c>
      <c r="I1798">
        <v>150</v>
      </c>
      <c r="J1798">
        <v>70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V1798">
        <v>2</v>
      </c>
      <c r="W1798" t="s">
        <v>868</v>
      </c>
    </row>
    <row r="1799" spans="1:23" x14ac:dyDescent="0.25">
      <c r="H1799">
        <v>400</v>
      </c>
    </row>
    <row r="1800" spans="1:23" x14ac:dyDescent="0.25">
      <c r="A1800">
        <v>897</v>
      </c>
      <c r="B1800">
        <v>911</v>
      </c>
      <c r="C1800" t="s">
        <v>1407</v>
      </c>
      <c r="D1800" t="s">
        <v>74</v>
      </c>
      <c r="E1800" t="s">
        <v>106</v>
      </c>
      <c r="F1800" t="s">
        <v>2603</v>
      </c>
      <c r="G1800" t="str">
        <f>"00165894"</f>
        <v>00165894</v>
      </c>
      <c r="H1800" t="s">
        <v>1236</v>
      </c>
      <c r="I1800">
        <v>0</v>
      </c>
      <c r="J1800">
        <v>30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11</v>
      </c>
      <c r="S1800">
        <v>77</v>
      </c>
      <c r="T1800">
        <v>0</v>
      </c>
      <c r="V1800">
        <v>0</v>
      </c>
      <c r="W1800" t="s">
        <v>2604</v>
      </c>
    </row>
    <row r="1801" spans="1:23" x14ac:dyDescent="0.25">
      <c r="H1801">
        <v>400</v>
      </c>
    </row>
    <row r="1802" spans="1:23" x14ac:dyDescent="0.25">
      <c r="A1802">
        <v>898</v>
      </c>
      <c r="B1802">
        <v>1791</v>
      </c>
      <c r="C1802" t="s">
        <v>2605</v>
      </c>
      <c r="D1802" t="s">
        <v>209</v>
      </c>
      <c r="E1802" t="s">
        <v>408</v>
      </c>
      <c r="F1802" t="s">
        <v>2606</v>
      </c>
      <c r="G1802" t="str">
        <f>"201409004813"</f>
        <v>201409004813</v>
      </c>
      <c r="H1802" t="s">
        <v>1849</v>
      </c>
      <c r="I1802">
        <v>0</v>
      </c>
      <c r="J1802">
        <v>30</v>
      </c>
      <c r="K1802">
        <v>0</v>
      </c>
      <c r="L1802">
        <v>30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V1802">
        <v>2</v>
      </c>
      <c r="W1802" t="s">
        <v>2607</v>
      </c>
    </row>
    <row r="1803" spans="1:23" x14ac:dyDescent="0.25">
      <c r="H1803" t="s">
        <v>76</v>
      </c>
    </row>
    <row r="1804" spans="1:23" x14ac:dyDescent="0.25">
      <c r="A1804">
        <v>899</v>
      </c>
      <c r="B1804">
        <v>980</v>
      </c>
      <c r="C1804" t="s">
        <v>2608</v>
      </c>
      <c r="D1804" t="s">
        <v>195</v>
      </c>
      <c r="E1804" t="s">
        <v>209</v>
      </c>
      <c r="F1804" t="s">
        <v>2609</v>
      </c>
      <c r="G1804" t="str">
        <f>"00215689"</f>
        <v>00215689</v>
      </c>
      <c r="H1804" t="s">
        <v>1205</v>
      </c>
      <c r="I1804">
        <v>0</v>
      </c>
      <c r="J1804">
        <v>30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12</v>
      </c>
      <c r="S1804">
        <v>84</v>
      </c>
      <c r="T1804">
        <v>0</v>
      </c>
      <c r="V1804">
        <v>0</v>
      </c>
      <c r="W1804" t="s">
        <v>2610</v>
      </c>
    </row>
    <row r="1805" spans="1:23" x14ac:dyDescent="0.25">
      <c r="H1805">
        <v>400</v>
      </c>
    </row>
    <row r="1806" spans="1:23" x14ac:dyDescent="0.25">
      <c r="A1806">
        <v>900</v>
      </c>
      <c r="B1806">
        <v>773</v>
      </c>
      <c r="C1806" t="s">
        <v>37</v>
      </c>
      <c r="D1806" t="s">
        <v>20</v>
      </c>
      <c r="E1806" t="s">
        <v>467</v>
      </c>
      <c r="F1806" t="s">
        <v>2611</v>
      </c>
      <c r="G1806" t="str">
        <f>"00210031"</f>
        <v>00210031</v>
      </c>
      <c r="H1806">
        <v>550</v>
      </c>
      <c r="I1806">
        <v>0</v>
      </c>
      <c r="J1806">
        <v>30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31</v>
      </c>
      <c r="S1806">
        <v>217</v>
      </c>
      <c r="T1806">
        <v>0</v>
      </c>
      <c r="V1806">
        <v>0</v>
      </c>
      <c r="W1806">
        <v>797</v>
      </c>
    </row>
    <row r="1807" spans="1:23" x14ac:dyDescent="0.25">
      <c r="H1807">
        <v>400</v>
      </c>
    </row>
    <row r="1808" spans="1:23" x14ac:dyDescent="0.25">
      <c r="A1808">
        <v>901</v>
      </c>
      <c r="B1808">
        <v>1045</v>
      </c>
      <c r="C1808" t="s">
        <v>2612</v>
      </c>
      <c r="D1808" t="s">
        <v>2613</v>
      </c>
      <c r="E1808" t="s">
        <v>828</v>
      </c>
      <c r="F1808" t="s">
        <v>2614</v>
      </c>
      <c r="G1808" t="str">
        <f>"00213095"</f>
        <v>00213095</v>
      </c>
      <c r="H1808" t="s">
        <v>1849</v>
      </c>
      <c r="I1808">
        <v>0</v>
      </c>
      <c r="J1808">
        <v>50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V1808">
        <v>1</v>
      </c>
      <c r="W1808" t="s">
        <v>2615</v>
      </c>
    </row>
    <row r="1809" spans="1:23" x14ac:dyDescent="0.25">
      <c r="H1809">
        <v>400</v>
      </c>
    </row>
    <row r="1810" spans="1:23" x14ac:dyDescent="0.25">
      <c r="A1810">
        <v>902</v>
      </c>
      <c r="B1810">
        <v>636</v>
      </c>
      <c r="C1810" t="s">
        <v>838</v>
      </c>
      <c r="D1810" t="s">
        <v>2616</v>
      </c>
      <c r="E1810" t="s">
        <v>209</v>
      </c>
      <c r="F1810" t="s">
        <v>2617</v>
      </c>
      <c r="G1810" t="str">
        <f>"00209219"</f>
        <v>00209219</v>
      </c>
      <c r="H1810">
        <v>792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V1810">
        <v>1</v>
      </c>
      <c r="W1810">
        <v>792</v>
      </c>
    </row>
    <row r="1811" spans="1:23" x14ac:dyDescent="0.25">
      <c r="H1811">
        <v>400</v>
      </c>
    </row>
    <row r="1812" spans="1:23" x14ac:dyDescent="0.25">
      <c r="A1812">
        <v>903</v>
      </c>
      <c r="B1812">
        <v>1812</v>
      </c>
      <c r="C1812" t="s">
        <v>2618</v>
      </c>
      <c r="D1812" t="s">
        <v>408</v>
      </c>
      <c r="E1812" t="s">
        <v>106</v>
      </c>
      <c r="F1812" t="s">
        <v>2619</v>
      </c>
      <c r="G1812" t="str">
        <f>"00217826"</f>
        <v>00217826</v>
      </c>
      <c r="H1812">
        <v>594</v>
      </c>
      <c r="I1812">
        <v>0</v>
      </c>
      <c r="J1812">
        <v>30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24</v>
      </c>
      <c r="S1812">
        <v>168</v>
      </c>
      <c r="T1812">
        <v>0</v>
      </c>
      <c r="V1812">
        <v>0</v>
      </c>
      <c r="W1812">
        <v>792</v>
      </c>
    </row>
    <row r="1813" spans="1:23" x14ac:dyDescent="0.25">
      <c r="H1813">
        <v>400</v>
      </c>
    </row>
    <row r="1814" spans="1:23" x14ac:dyDescent="0.25">
      <c r="A1814">
        <v>904</v>
      </c>
      <c r="B1814">
        <v>235</v>
      </c>
      <c r="C1814" t="s">
        <v>2620</v>
      </c>
      <c r="D1814" t="s">
        <v>298</v>
      </c>
      <c r="E1814" t="s">
        <v>408</v>
      </c>
      <c r="F1814" t="s">
        <v>2621</v>
      </c>
      <c r="G1814" t="str">
        <f>"201506001626"</f>
        <v>201506001626</v>
      </c>
      <c r="H1814" t="s">
        <v>2622</v>
      </c>
      <c r="I1814">
        <v>0</v>
      </c>
      <c r="J1814">
        <v>30</v>
      </c>
      <c r="K1814">
        <v>0</v>
      </c>
      <c r="L1814">
        <v>0</v>
      </c>
      <c r="M1814">
        <v>30</v>
      </c>
      <c r="N1814">
        <v>0</v>
      </c>
      <c r="O1814">
        <v>0</v>
      </c>
      <c r="P1814">
        <v>0</v>
      </c>
      <c r="Q1814">
        <v>0</v>
      </c>
      <c r="R1814">
        <v>25</v>
      </c>
      <c r="S1814">
        <v>175</v>
      </c>
      <c r="T1814">
        <v>0</v>
      </c>
      <c r="V1814">
        <v>0</v>
      </c>
      <c r="W1814" t="s">
        <v>2623</v>
      </c>
    </row>
    <row r="1815" spans="1:23" x14ac:dyDescent="0.25">
      <c r="H1815">
        <v>400</v>
      </c>
    </row>
    <row r="1816" spans="1:23" x14ac:dyDescent="0.25">
      <c r="A1816">
        <v>905</v>
      </c>
      <c r="B1816">
        <v>590</v>
      </c>
      <c r="C1816" t="s">
        <v>2624</v>
      </c>
      <c r="D1816" t="s">
        <v>212</v>
      </c>
      <c r="E1816" t="s">
        <v>21</v>
      </c>
      <c r="F1816" t="s">
        <v>2625</v>
      </c>
      <c r="G1816" t="str">
        <f>"00009074"</f>
        <v>00009074</v>
      </c>
      <c r="H1816">
        <v>671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17</v>
      </c>
      <c r="S1816">
        <v>119</v>
      </c>
      <c r="T1816">
        <v>0</v>
      </c>
      <c r="V1816">
        <v>1</v>
      </c>
      <c r="W1816">
        <v>790</v>
      </c>
    </row>
    <row r="1817" spans="1:23" x14ac:dyDescent="0.25">
      <c r="H1817">
        <v>400</v>
      </c>
    </row>
    <row r="1818" spans="1:23" x14ac:dyDescent="0.25">
      <c r="A1818">
        <v>906</v>
      </c>
      <c r="B1818">
        <v>1269</v>
      </c>
      <c r="C1818" t="s">
        <v>2626</v>
      </c>
      <c r="D1818" t="s">
        <v>98</v>
      </c>
      <c r="E1818" t="s">
        <v>132</v>
      </c>
      <c r="F1818" t="s">
        <v>2627</v>
      </c>
      <c r="G1818" t="str">
        <f>"201406010749"</f>
        <v>201406010749</v>
      </c>
      <c r="H1818" t="s">
        <v>2628</v>
      </c>
      <c r="I1818">
        <v>0</v>
      </c>
      <c r="J1818">
        <v>50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V1818">
        <v>0</v>
      </c>
      <c r="W1818" t="s">
        <v>2629</v>
      </c>
    </row>
    <row r="1819" spans="1:23" x14ac:dyDescent="0.25">
      <c r="H1819">
        <v>400</v>
      </c>
    </row>
    <row r="1820" spans="1:23" x14ac:dyDescent="0.25">
      <c r="A1820">
        <v>907</v>
      </c>
      <c r="B1820">
        <v>1087</v>
      </c>
      <c r="C1820" t="s">
        <v>2630</v>
      </c>
      <c r="D1820" t="s">
        <v>27</v>
      </c>
      <c r="E1820" t="s">
        <v>15</v>
      </c>
      <c r="F1820" t="s">
        <v>2631</v>
      </c>
      <c r="G1820" t="str">
        <f>"00214539"</f>
        <v>00214539</v>
      </c>
      <c r="H1820" t="s">
        <v>643</v>
      </c>
      <c r="I1820">
        <v>0</v>
      </c>
      <c r="J1820">
        <v>30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6</v>
      </c>
      <c r="S1820">
        <v>42</v>
      </c>
      <c r="T1820">
        <v>0</v>
      </c>
      <c r="V1820">
        <v>2</v>
      </c>
      <c r="W1820" t="s">
        <v>2632</v>
      </c>
    </row>
    <row r="1821" spans="1:23" x14ac:dyDescent="0.25">
      <c r="H1821">
        <v>400</v>
      </c>
    </row>
    <row r="1822" spans="1:23" x14ac:dyDescent="0.25">
      <c r="A1822">
        <v>908</v>
      </c>
      <c r="B1822">
        <v>1890</v>
      </c>
      <c r="C1822" t="s">
        <v>2633</v>
      </c>
      <c r="D1822" t="s">
        <v>2634</v>
      </c>
      <c r="E1822" t="s">
        <v>15</v>
      </c>
      <c r="F1822" t="s">
        <v>2635</v>
      </c>
      <c r="G1822" t="str">
        <f>"00212482"</f>
        <v>00212482</v>
      </c>
      <c r="H1822" t="s">
        <v>643</v>
      </c>
      <c r="I1822">
        <v>0</v>
      </c>
      <c r="J1822">
        <v>70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V1822">
        <v>0</v>
      </c>
      <c r="W1822" t="s">
        <v>2636</v>
      </c>
    </row>
    <row r="1823" spans="1:23" x14ac:dyDescent="0.25">
      <c r="H1823">
        <v>400</v>
      </c>
    </row>
    <row r="1824" spans="1:23" x14ac:dyDescent="0.25">
      <c r="A1824">
        <v>909</v>
      </c>
      <c r="B1824">
        <v>335</v>
      </c>
      <c r="C1824" t="s">
        <v>2637</v>
      </c>
      <c r="D1824" t="s">
        <v>91</v>
      </c>
      <c r="E1824" t="s">
        <v>39</v>
      </c>
      <c r="F1824" t="s">
        <v>2638</v>
      </c>
      <c r="G1824" t="str">
        <f>"00148135"</f>
        <v>00148135</v>
      </c>
      <c r="H1824">
        <v>638</v>
      </c>
      <c r="I1824">
        <v>0</v>
      </c>
      <c r="J1824">
        <v>30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15</v>
      </c>
      <c r="S1824">
        <v>105</v>
      </c>
      <c r="T1824">
        <v>0</v>
      </c>
      <c r="V1824">
        <v>0</v>
      </c>
      <c r="W1824">
        <v>773</v>
      </c>
    </row>
    <row r="1825" spans="1:23" x14ac:dyDescent="0.25">
      <c r="H1825">
        <v>400</v>
      </c>
    </row>
    <row r="1826" spans="1:23" x14ac:dyDescent="0.25">
      <c r="A1826">
        <v>910</v>
      </c>
      <c r="B1826">
        <v>779</v>
      </c>
      <c r="C1826" t="s">
        <v>2639</v>
      </c>
      <c r="D1826" t="s">
        <v>2640</v>
      </c>
      <c r="E1826" t="s">
        <v>59</v>
      </c>
      <c r="F1826" t="s">
        <v>2641</v>
      </c>
      <c r="G1826" t="str">
        <f>"00212329"</f>
        <v>00212329</v>
      </c>
      <c r="H1826" t="s">
        <v>643</v>
      </c>
      <c r="I1826">
        <v>0</v>
      </c>
      <c r="J1826">
        <v>30</v>
      </c>
      <c r="K1826">
        <v>30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V1826">
        <v>0</v>
      </c>
      <c r="W1826" t="s">
        <v>2642</v>
      </c>
    </row>
    <row r="1827" spans="1:23" x14ac:dyDescent="0.25">
      <c r="H1827">
        <v>400</v>
      </c>
    </row>
    <row r="1828" spans="1:23" x14ac:dyDescent="0.25">
      <c r="A1828">
        <v>911</v>
      </c>
      <c r="B1828">
        <v>709</v>
      </c>
      <c r="C1828" t="s">
        <v>2643</v>
      </c>
      <c r="D1828" t="s">
        <v>2644</v>
      </c>
      <c r="E1828" t="s">
        <v>49</v>
      </c>
      <c r="F1828" t="s">
        <v>2645</v>
      </c>
      <c r="G1828" t="str">
        <f>"00139530"</f>
        <v>00139530</v>
      </c>
      <c r="H1828" t="s">
        <v>850</v>
      </c>
      <c r="I1828">
        <v>0</v>
      </c>
      <c r="J1828">
        <v>70</v>
      </c>
      <c r="K1828">
        <v>30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V1828">
        <v>0</v>
      </c>
      <c r="W1828" t="s">
        <v>2646</v>
      </c>
    </row>
    <row r="1829" spans="1:23" x14ac:dyDescent="0.25">
      <c r="H1829">
        <v>400</v>
      </c>
    </row>
    <row r="1830" spans="1:23" x14ac:dyDescent="0.25">
      <c r="A1830">
        <v>912</v>
      </c>
      <c r="B1830">
        <v>1156</v>
      </c>
      <c r="C1830" t="s">
        <v>2647</v>
      </c>
      <c r="D1830" t="s">
        <v>720</v>
      </c>
      <c r="E1830" t="s">
        <v>21</v>
      </c>
      <c r="F1830" t="s">
        <v>2648</v>
      </c>
      <c r="G1830" t="str">
        <f>"00155278"</f>
        <v>00155278</v>
      </c>
      <c r="H1830">
        <v>715</v>
      </c>
      <c r="I1830">
        <v>0</v>
      </c>
      <c r="J1830">
        <v>50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V1830">
        <v>1</v>
      </c>
      <c r="W1830">
        <v>765</v>
      </c>
    </row>
    <row r="1831" spans="1:23" x14ac:dyDescent="0.25">
      <c r="H1831" t="s">
        <v>76</v>
      </c>
    </row>
    <row r="1832" spans="1:23" x14ac:dyDescent="0.25">
      <c r="A1832">
        <v>913</v>
      </c>
      <c r="B1832">
        <v>981</v>
      </c>
      <c r="C1832" t="s">
        <v>2649</v>
      </c>
      <c r="D1832" t="s">
        <v>180</v>
      </c>
      <c r="E1832" t="s">
        <v>132</v>
      </c>
      <c r="F1832" t="s">
        <v>2650</v>
      </c>
      <c r="G1832" t="str">
        <f>"00218045"</f>
        <v>00218045</v>
      </c>
      <c r="H1832" t="s">
        <v>1317</v>
      </c>
      <c r="I1832">
        <v>0</v>
      </c>
      <c r="J1832">
        <v>30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V1832">
        <v>0</v>
      </c>
      <c r="W1832" t="s">
        <v>2651</v>
      </c>
    </row>
    <row r="1833" spans="1:23" x14ac:dyDescent="0.25">
      <c r="H1833">
        <v>400</v>
      </c>
    </row>
    <row r="1834" spans="1:23" x14ac:dyDescent="0.25">
      <c r="A1834">
        <v>914</v>
      </c>
      <c r="B1834">
        <v>1374</v>
      </c>
      <c r="C1834" t="s">
        <v>2652</v>
      </c>
      <c r="D1834" t="s">
        <v>408</v>
      </c>
      <c r="E1834" t="s">
        <v>263</v>
      </c>
      <c r="F1834" t="s">
        <v>2653</v>
      </c>
      <c r="G1834" t="str">
        <f>"00008422"</f>
        <v>00008422</v>
      </c>
      <c r="H1834">
        <v>638</v>
      </c>
      <c r="I1834">
        <v>0</v>
      </c>
      <c r="J1834">
        <v>70</v>
      </c>
      <c r="K1834">
        <v>0</v>
      </c>
      <c r="L1834">
        <v>50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V1834">
        <v>0</v>
      </c>
      <c r="W1834">
        <v>758</v>
      </c>
    </row>
    <row r="1835" spans="1:23" x14ac:dyDescent="0.25">
      <c r="H1835">
        <v>400</v>
      </c>
    </row>
    <row r="1836" spans="1:23" x14ac:dyDescent="0.25">
      <c r="A1836">
        <v>915</v>
      </c>
      <c r="B1836">
        <v>1818</v>
      </c>
      <c r="C1836" t="s">
        <v>2654</v>
      </c>
      <c r="D1836" t="s">
        <v>2655</v>
      </c>
      <c r="E1836" t="s">
        <v>299</v>
      </c>
      <c r="F1836" t="s">
        <v>2656</v>
      </c>
      <c r="G1836" t="str">
        <f>"00216858"</f>
        <v>00216858</v>
      </c>
      <c r="H1836">
        <v>682</v>
      </c>
      <c r="I1836">
        <v>0</v>
      </c>
      <c r="J1836">
        <v>70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V1836">
        <v>0</v>
      </c>
      <c r="W1836">
        <v>752</v>
      </c>
    </row>
    <row r="1837" spans="1:23" x14ac:dyDescent="0.25">
      <c r="H1837">
        <v>400</v>
      </c>
    </row>
    <row r="1838" spans="1:23" x14ac:dyDescent="0.25">
      <c r="A1838">
        <v>916</v>
      </c>
      <c r="B1838">
        <v>1821</v>
      </c>
      <c r="C1838" t="s">
        <v>2657</v>
      </c>
      <c r="D1838" t="s">
        <v>21</v>
      </c>
      <c r="E1838" t="s">
        <v>49</v>
      </c>
      <c r="F1838" t="s">
        <v>2658</v>
      </c>
      <c r="G1838" t="str">
        <f>"201504004850"</f>
        <v>201504004850</v>
      </c>
      <c r="H1838" t="s">
        <v>1715</v>
      </c>
      <c r="I1838">
        <v>0</v>
      </c>
      <c r="J1838">
        <v>30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V1838">
        <v>0</v>
      </c>
      <c r="W1838" t="s">
        <v>2659</v>
      </c>
    </row>
    <row r="1839" spans="1:23" x14ac:dyDescent="0.25">
      <c r="H1839">
        <v>400</v>
      </c>
    </row>
    <row r="1840" spans="1:23" x14ac:dyDescent="0.25">
      <c r="A1840">
        <v>917</v>
      </c>
      <c r="B1840">
        <v>1466</v>
      </c>
      <c r="C1840" t="s">
        <v>2660</v>
      </c>
      <c r="D1840" t="s">
        <v>33</v>
      </c>
      <c r="E1840" t="s">
        <v>209</v>
      </c>
      <c r="F1840" t="s">
        <v>2661</v>
      </c>
      <c r="G1840" t="str">
        <f>"201511005271"</f>
        <v>201511005271</v>
      </c>
      <c r="H1840" t="s">
        <v>2662</v>
      </c>
      <c r="I1840">
        <v>0</v>
      </c>
      <c r="J1840">
        <v>30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V1840">
        <v>0</v>
      </c>
      <c r="W1840" t="s">
        <v>2663</v>
      </c>
    </row>
    <row r="1841" spans="1:23" x14ac:dyDescent="0.25">
      <c r="H1841">
        <v>400</v>
      </c>
    </row>
    <row r="1842" spans="1:23" x14ac:dyDescent="0.25">
      <c r="A1842">
        <v>918</v>
      </c>
      <c r="B1842">
        <v>840</v>
      </c>
      <c r="C1842" t="s">
        <v>2664</v>
      </c>
      <c r="D1842" t="s">
        <v>2421</v>
      </c>
      <c r="E1842" t="s">
        <v>27</v>
      </c>
      <c r="F1842" t="s">
        <v>2665</v>
      </c>
      <c r="G1842" t="str">
        <f>"00146120"</f>
        <v>00146120</v>
      </c>
      <c r="H1842">
        <v>715</v>
      </c>
      <c r="I1842">
        <v>0</v>
      </c>
      <c r="J1842">
        <v>30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V1842">
        <v>0</v>
      </c>
      <c r="W1842">
        <v>745</v>
      </c>
    </row>
    <row r="1843" spans="1:23" x14ac:dyDescent="0.25">
      <c r="H1843">
        <v>400</v>
      </c>
    </row>
    <row r="1844" spans="1:23" x14ac:dyDescent="0.25">
      <c r="A1844">
        <v>919</v>
      </c>
      <c r="B1844">
        <v>445</v>
      </c>
      <c r="C1844" t="s">
        <v>2666</v>
      </c>
      <c r="D1844" t="s">
        <v>408</v>
      </c>
      <c r="E1844" t="s">
        <v>59</v>
      </c>
      <c r="F1844" t="s">
        <v>2667</v>
      </c>
      <c r="G1844" t="str">
        <f>"201406015158"</f>
        <v>201406015158</v>
      </c>
      <c r="H1844">
        <v>539</v>
      </c>
      <c r="I1844">
        <v>0</v>
      </c>
      <c r="J1844">
        <v>30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24</v>
      </c>
      <c r="S1844">
        <v>168</v>
      </c>
      <c r="T1844">
        <v>0</v>
      </c>
      <c r="V1844">
        <v>0</v>
      </c>
      <c r="W1844">
        <v>737</v>
      </c>
    </row>
    <row r="1845" spans="1:23" x14ac:dyDescent="0.25">
      <c r="H1845">
        <v>400</v>
      </c>
    </row>
    <row r="1846" spans="1:23" x14ac:dyDescent="0.25">
      <c r="A1846">
        <v>920</v>
      </c>
      <c r="B1846">
        <v>1624</v>
      </c>
      <c r="C1846" t="s">
        <v>2668</v>
      </c>
      <c r="D1846" t="s">
        <v>552</v>
      </c>
      <c r="E1846" t="s">
        <v>15</v>
      </c>
      <c r="F1846" t="s">
        <v>2669</v>
      </c>
      <c r="G1846" t="str">
        <f>"00108745"</f>
        <v>00108745</v>
      </c>
      <c r="H1846">
        <v>495</v>
      </c>
      <c r="I1846">
        <v>150</v>
      </c>
      <c r="J1846">
        <v>30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8</v>
      </c>
      <c r="S1846">
        <v>56</v>
      </c>
      <c r="T1846">
        <v>0</v>
      </c>
      <c r="V1846">
        <v>0</v>
      </c>
      <c r="W1846">
        <v>731</v>
      </c>
    </row>
    <row r="1847" spans="1:23" x14ac:dyDescent="0.25">
      <c r="H1847">
        <v>400</v>
      </c>
    </row>
    <row r="1848" spans="1:23" x14ac:dyDescent="0.25">
      <c r="A1848">
        <v>921</v>
      </c>
      <c r="B1848">
        <v>1781</v>
      </c>
      <c r="C1848" t="s">
        <v>2670</v>
      </c>
      <c r="D1848" t="s">
        <v>21</v>
      </c>
      <c r="E1848" t="s">
        <v>59</v>
      </c>
      <c r="F1848" t="s">
        <v>2671</v>
      </c>
      <c r="G1848" t="str">
        <f>"00009130"</f>
        <v>00009130</v>
      </c>
      <c r="H1848">
        <v>660</v>
      </c>
      <c r="I1848">
        <v>0</v>
      </c>
      <c r="J1848">
        <v>70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V1848">
        <v>0</v>
      </c>
      <c r="W1848">
        <v>730</v>
      </c>
    </row>
    <row r="1849" spans="1:23" x14ac:dyDescent="0.25">
      <c r="H1849">
        <v>400</v>
      </c>
    </row>
    <row r="1850" spans="1:23" x14ac:dyDescent="0.25">
      <c r="A1850">
        <v>922</v>
      </c>
      <c r="B1850">
        <v>609</v>
      </c>
      <c r="C1850" t="s">
        <v>2672</v>
      </c>
      <c r="D1850" t="s">
        <v>251</v>
      </c>
      <c r="E1850" t="s">
        <v>209</v>
      </c>
      <c r="F1850" t="s">
        <v>2673</v>
      </c>
      <c r="G1850" t="str">
        <f>"201504000442"</f>
        <v>201504000442</v>
      </c>
      <c r="H1850">
        <v>550</v>
      </c>
      <c r="I1850">
        <v>0</v>
      </c>
      <c r="J1850">
        <v>70</v>
      </c>
      <c r="K1850">
        <v>0</v>
      </c>
      <c r="L1850">
        <v>0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15</v>
      </c>
      <c r="S1850">
        <v>105</v>
      </c>
      <c r="T1850">
        <v>0</v>
      </c>
      <c r="V1850">
        <v>0</v>
      </c>
      <c r="W1850">
        <v>725</v>
      </c>
    </row>
    <row r="1851" spans="1:23" x14ac:dyDescent="0.25">
      <c r="H1851">
        <v>400</v>
      </c>
    </row>
    <row r="1852" spans="1:23" x14ac:dyDescent="0.25">
      <c r="A1852">
        <v>923</v>
      </c>
      <c r="B1852">
        <v>587</v>
      </c>
      <c r="C1852" t="s">
        <v>2674</v>
      </c>
      <c r="D1852" t="s">
        <v>27</v>
      </c>
      <c r="E1852" t="s">
        <v>112</v>
      </c>
      <c r="F1852" t="s">
        <v>2675</v>
      </c>
      <c r="G1852" t="str">
        <f>"201410002813"</f>
        <v>201410002813</v>
      </c>
      <c r="H1852">
        <v>682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6</v>
      </c>
      <c r="S1852">
        <v>42</v>
      </c>
      <c r="T1852">
        <v>0</v>
      </c>
      <c r="V1852">
        <v>0</v>
      </c>
      <c r="W1852">
        <v>724</v>
      </c>
    </row>
    <row r="1853" spans="1:23" x14ac:dyDescent="0.25">
      <c r="H1853">
        <v>400</v>
      </c>
    </row>
    <row r="1854" spans="1:23" x14ac:dyDescent="0.25">
      <c r="A1854">
        <v>924</v>
      </c>
      <c r="B1854">
        <v>530</v>
      </c>
      <c r="C1854" t="s">
        <v>944</v>
      </c>
      <c r="D1854" t="s">
        <v>74</v>
      </c>
      <c r="E1854" t="s">
        <v>59</v>
      </c>
      <c r="F1854" t="s">
        <v>2676</v>
      </c>
      <c r="G1854" t="str">
        <f>"201412005768"</f>
        <v>201412005768</v>
      </c>
      <c r="H1854">
        <v>605</v>
      </c>
      <c r="I1854">
        <v>0</v>
      </c>
      <c r="J1854">
        <v>30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12</v>
      </c>
      <c r="S1854">
        <v>84</v>
      </c>
      <c r="T1854">
        <v>0</v>
      </c>
      <c r="V1854">
        <v>0</v>
      </c>
      <c r="W1854">
        <v>719</v>
      </c>
    </row>
    <row r="1855" spans="1:23" x14ac:dyDescent="0.25">
      <c r="H1855">
        <v>400</v>
      </c>
    </row>
    <row r="1856" spans="1:23" x14ac:dyDescent="0.25">
      <c r="A1856">
        <v>925</v>
      </c>
      <c r="B1856">
        <v>1697</v>
      </c>
      <c r="C1856" t="s">
        <v>2677</v>
      </c>
      <c r="D1856" t="s">
        <v>27</v>
      </c>
      <c r="E1856" t="s">
        <v>299</v>
      </c>
      <c r="F1856" t="s">
        <v>2678</v>
      </c>
      <c r="G1856" t="str">
        <f>"201409003172"</f>
        <v>201409003172</v>
      </c>
      <c r="H1856">
        <v>517</v>
      </c>
      <c r="I1856">
        <v>0</v>
      </c>
      <c r="J1856">
        <v>30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24</v>
      </c>
      <c r="S1856">
        <v>168</v>
      </c>
      <c r="T1856">
        <v>0</v>
      </c>
      <c r="V1856">
        <v>1</v>
      </c>
      <c r="W1856">
        <v>715</v>
      </c>
    </row>
    <row r="1857" spans="1:23" x14ac:dyDescent="0.25">
      <c r="H1857">
        <v>400</v>
      </c>
    </row>
    <row r="1858" spans="1:23" x14ac:dyDescent="0.25">
      <c r="A1858">
        <v>926</v>
      </c>
      <c r="B1858">
        <v>1167</v>
      </c>
      <c r="C1858" t="s">
        <v>2679</v>
      </c>
      <c r="D1858" t="s">
        <v>209</v>
      </c>
      <c r="E1858" t="s">
        <v>71</v>
      </c>
      <c r="F1858" t="s">
        <v>2680</v>
      </c>
      <c r="G1858" t="str">
        <f>"00210120"</f>
        <v>00210120</v>
      </c>
      <c r="H1858" t="s">
        <v>2124</v>
      </c>
      <c r="I1858">
        <v>0</v>
      </c>
      <c r="J1858">
        <v>70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V1858">
        <v>0</v>
      </c>
      <c r="W1858" t="s">
        <v>2681</v>
      </c>
    </row>
    <row r="1859" spans="1:23" x14ac:dyDescent="0.25">
      <c r="H1859">
        <v>400</v>
      </c>
    </row>
    <row r="1860" spans="1:23" x14ac:dyDescent="0.25">
      <c r="A1860">
        <v>927</v>
      </c>
      <c r="B1860">
        <v>1444</v>
      </c>
      <c r="C1860" t="s">
        <v>2666</v>
      </c>
      <c r="D1860" t="s">
        <v>27</v>
      </c>
      <c r="E1860" t="s">
        <v>59</v>
      </c>
      <c r="F1860" t="s">
        <v>2682</v>
      </c>
      <c r="G1860" t="str">
        <f>"00215186"</f>
        <v>00215186</v>
      </c>
      <c r="H1860">
        <v>682</v>
      </c>
      <c r="I1860">
        <v>0</v>
      </c>
      <c r="J1860">
        <v>30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V1860">
        <v>0</v>
      </c>
      <c r="W1860">
        <v>712</v>
      </c>
    </row>
    <row r="1861" spans="1:23" x14ac:dyDescent="0.25">
      <c r="H1861">
        <v>400</v>
      </c>
    </row>
    <row r="1862" spans="1:23" x14ac:dyDescent="0.25">
      <c r="A1862">
        <v>928</v>
      </c>
      <c r="B1862">
        <v>797</v>
      </c>
      <c r="C1862" t="s">
        <v>2683</v>
      </c>
      <c r="D1862" t="s">
        <v>2684</v>
      </c>
      <c r="E1862" t="s">
        <v>209</v>
      </c>
      <c r="F1862" t="s">
        <v>2685</v>
      </c>
      <c r="G1862" t="str">
        <f>"00176549"</f>
        <v>00176549</v>
      </c>
      <c r="H1862" t="s">
        <v>2686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6</v>
      </c>
      <c r="S1862">
        <v>42</v>
      </c>
      <c r="T1862">
        <v>0</v>
      </c>
      <c r="V1862">
        <v>0</v>
      </c>
      <c r="W1862" t="s">
        <v>2687</v>
      </c>
    </row>
    <row r="1863" spans="1:23" x14ac:dyDescent="0.25">
      <c r="H1863">
        <v>400</v>
      </c>
    </row>
    <row r="1864" spans="1:23" x14ac:dyDescent="0.25">
      <c r="A1864">
        <v>929</v>
      </c>
      <c r="B1864">
        <v>814</v>
      </c>
      <c r="C1864" t="s">
        <v>838</v>
      </c>
      <c r="D1864" t="s">
        <v>27</v>
      </c>
      <c r="E1864" t="s">
        <v>414</v>
      </c>
      <c r="F1864" t="s">
        <v>2688</v>
      </c>
      <c r="G1864" t="str">
        <f>"201305000017"</f>
        <v>201305000017</v>
      </c>
      <c r="H1864">
        <v>649</v>
      </c>
      <c r="I1864">
        <v>0</v>
      </c>
      <c r="J1864">
        <v>50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V1864">
        <v>2</v>
      </c>
      <c r="W1864">
        <v>699</v>
      </c>
    </row>
    <row r="1865" spans="1:23" x14ac:dyDescent="0.25">
      <c r="H1865">
        <v>400</v>
      </c>
    </row>
    <row r="1866" spans="1:23" x14ac:dyDescent="0.25">
      <c r="A1866">
        <v>930</v>
      </c>
      <c r="B1866">
        <v>1266</v>
      </c>
      <c r="C1866" t="s">
        <v>2689</v>
      </c>
      <c r="D1866" t="s">
        <v>106</v>
      </c>
      <c r="E1866" t="s">
        <v>158</v>
      </c>
      <c r="F1866" t="s">
        <v>2690</v>
      </c>
      <c r="G1866" t="str">
        <f>"201507001983"</f>
        <v>201507001983</v>
      </c>
      <c r="H1866" t="s">
        <v>2686</v>
      </c>
      <c r="I1866">
        <v>0</v>
      </c>
      <c r="J1866">
        <v>30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V1866">
        <v>1</v>
      </c>
      <c r="W1866" t="s">
        <v>2691</v>
      </c>
    </row>
    <row r="1867" spans="1:23" x14ac:dyDescent="0.25">
      <c r="H1867" t="s">
        <v>855</v>
      </c>
    </row>
    <row r="1868" spans="1:23" x14ac:dyDescent="0.25">
      <c r="A1868">
        <v>931</v>
      </c>
      <c r="B1868">
        <v>106</v>
      </c>
      <c r="C1868" t="s">
        <v>2692</v>
      </c>
      <c r="D1868" t="s">
        <v>27</v>
      </c>
      <c r="E1868" t="s">
        <v>21</v>
      </c>
      <c r="F1868" t="s">
        <v>2693</v>
      </c>
      <c r="G1868" t="str">
        <f>"201511005154"</f>
        <v>201511005154</v>
      </c>
      <c r="H1868" t="s">
        <v>2694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V1868">
        <v>0</v>
      </c>
      <c r="W1868" t="s">
        <v>2694</v>
      </c>
    </row>
    <row r="1869" spans="1:23" x14ac:dyDescent="0.25">
      <c r="H1869">
        <v>400</v>
      </c>
    </row>
    <row r="1870" spans="1:23" x14ac:dyDescent="0.25">
      <c r="A1870">
        <v>932</v>
      </c>
      <c r="B1870">
        <v>1287</v>
      </c>
      <c r="C1870" t="s">
        <v>844</v>
      </c>
      <c r="D1870" t="s">
        <v>1651</v>
      </c>
      <c r="E1870" t="s">
        <v>49</v>
      </c>
      <c r="F1870" t="s">
        <v>2695</v>
      </c>
      <c r="G1870" t="str">
        <f>"00143841"</f>
        <v>00143841</v>
      </c>
      <c r="H1870" t="s">
        <v>1725</v>
      </c>
      <c r="I1870">
        <v>0</v>
      </c>
      <c r="J1870">
        <v>30</v>
      </c>
      <c r="K1870">
        <v>30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V1870">
        <v>0</v>
      </c>
      <c r="W1870" t="s">
        <v>2696</v>
      </c>
    </row>
    <row r="1871" spans="1:23" x14ac:dyDescent="0.25">
      <c r="H1871" t="s">
        <v>76</v>
      </c>
    </row>
    <row r="1872" spans="1:23" x14ac:dyDescent="0.25">
      <c r="A1872">
        <v>933</v>
      </c>
      <c r="B1872">
        <v>535</v>
      </c>
      <c r="C1872" t="s">
        <v>1101</v>
      </c>
      <c r="D1872" t="s">
        <v>192</v>
      </c>
      <c r="E1872" t="s">
        <v>15</v>
      </c>
      <c r="F1872" t="s">
        <v>2697</v>
      </c>
      <c r="G1872" t="str">
        <f>"00212795"</f>
        <v>00212795</v>
      </c>
      <c r="H1872" t="s">
        <v>1205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V1872">
        <v>0</v>
      </c>
      <c r="W1872" t="s">
        <v>1205</v>
      </c>
    </row>
    <row r="1873" spans="1:23" x14ac:dyDescent="0.25">
      <c r="H1873">
        <v>400</v>
      </c>
    </row>
    <row r="1874" spans="1:23" x14ac:dyDescent="0.25">
      <c r="A1874">
        <v>934</v>
      </c>
      <c r="B1874">
        <v>361</v>
      </c>
      <c r="C1874" t="s">
        <v>186</v>
      </c>
      <c r="D1874" t="s">
        <v>1581</v>
      </c>
      <c r="E1874" t="s">
        <v>299</v>
      </c>
      <c r="F1874" t="s">
        <v>2698</v>
      </c>
      <c r="G1874" t="str">
        <f>"00205672"</f>
        <v>00205672</v>
      </c>
      <c r="H1874" t="s">
        <v>2500</v>
      </c>
      <c r="I1874">
        <v>0</v>
      </c>
      <c r="J1874">
        <v>70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V1874">
        <v>0</v>
      </c>
      <c r="W1874" t="s">
        <v>2699</v>
      </c>
    </row>
    <row r="1875" spans="1:23" x14ac:dyDescent="0.25">
      <c r="H1875">
        <v>400</v>
      </c>
    </row>
    <row r="1876" spans="1:23" x14ac:dyDescent="0.25">
      <c r="A1876">
        <v>935</v>
      </c>
      <c r="B1876">
        <v>15</v>
      </c>
      <c r="C1876" t="s">
        <v>2700</v>
      </c>
      <c r="D1876" t="s">
        <v>828</v>
      </c>
      <c r="E1876" t="s">
        <v>15</v>
      </c>
      <c r="F1876" t="s">
        <v>2701</v>
      </c>
      <c r="G1876" t="str">
        <f>"200906000541"</f>
        <v>200906000541</v>
      </c>
      <c r="H1876">
        <v>572</v>
      </c>
      <c r="I1876">
        <v>0</v>
      </c>
      <c r="J1876">
        <v>30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11</v>
      </c>
      <c r="S1876">
        <v>77</v>
      </c>
      <c r="T1876">
        <v>0</v>
      </c>
      <c r="V1876">
        <v>0</v>
      </c>
      <c r="W1876">
        <v>679</v>
      </c>
    </row>
    <row r="1877" spans="1:23" x14ac:dyDescent="0.25">
      <c r="H1877" t="s">
        <v>855</v>
      </c>
    </row>
    <row r="1878" spans="1:23" x14ac:dyDescent="0.25">
      <c r="A1878">
        <v>936</v>
      </c>
      <c r="B1878">
        <v>924</v>
      </c>
      <c r="C1878" t="s">
        <v>2702</v>
      </c>
      <c r="D1878" t="s">
        <v>241</v>
      </c>
      <c r="E1878" t="s">
        <v>2703</v>
      </c>
      <c r="F1878" t="s">
        <v>2704</v>
      </c>
      <c r="G1878" t="str">
        <f>"201402007167"</f>
        <v>201402007167</v>
      </c>
      <c r="H1878">
        <v>627</v>
      </c>
      <c r="I1878">
        <v>0</v>
      </c>
      <c r="J1878">
        <v>50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V1878">
        <v>0</v>
      </c>
      <c r="W1878">
        <v>677</v>
      </c>
    </row>
    <row r="1879" spans="1:23" x14ac:dyDescent="0.25">
      <c r="H1879">
        <v>400</v>
      </c>
    </row>
    <row r="1880" spans="1:23" x14ac:dyDescent="0.25">
      <c r="A1880">
        <v>937</v>
      </c>
      <c r="B1880">
        <v>1451</v>
      </c>
      <c r="C1880" t="s">
        <v>2705</v>
      </c>
      <c r="D1880" t="s">
        <v>49</v>
      </c>
      <c r="E1880" t="s">
        <v>21</v>
      </c>
      <c r="F1880" t="s">
        <v>2706</v>
      </c>
      <c r="G1880" t="str">
        <f>"00214650"</f>
        <v>00214650</v>
      </c>
      <c r="H1880" t="s">
        <v>2500</v>
      </c>
      <c r="I1880">
        <v>0</v>
      </c>
      <c r="J1880">
        <v>30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5</v>
      </c>
      <c r="S1880">
        <v>35</v>
      </c>
      <c r="T1880">
        <v>0</v>
      </c>
      <c r="V1880">
        <v>0</v>
      </c>
      <c r="W1880" t="s">
        <v>2707</v>
      </c>
    </row>
    <row r="1881" spans="1:23" x14ac:dyDescent="0.25">
      <c r="H1881">
        <v>400</v>
      </c>
    </row>
    <row r="1882" spans="1:23" x14ac:dyDescent="0.25">
      <c r="A1882">
        <v>938</v>
      </c>
      <c r="B1882">
        <v>1785</v>
      </c>
      <c r="C1882" t="s">
        <v>2708</v>
      </c>
      <c r="D1882" t="s">
        <v>158</v>
      </c>
      <c r="E1882" t="s">
        <v>27</v>
      </c>
      <c r="F1882" t="s">
        <v>2709</v>
      </c>
      <c r="G1882" t="str">
        <f>"201511017825"</f>
        <v>201511017825</v>
      </c>
      <c r="H1882">
        <v>550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16</v>
      </c>
      <c r="S1882">
        <v>112</v>
      </c>
      <c r="T1882">
        <v>0</v>
      </c>
      <c r="V1882">
        <v>0</v>
      </c>
      <c r="W1882">
        <v>662</v>
      </c>
    </row>
    <row r="1883" spans="1:23" x14ac:dyDescent="0.25">
      <c r="H1883">
        <v>400</v>
      </c>
    </row>
    <row r="1884" spans="1:23" x14ac:dyDescent="0.25">
      <c r="A1884">
        <v>939</v>
      </c>
      <c r="B1884">
        <v>1258</v>
      </c>
      <c r="C1884" t="s">
        <v>2014</v>
      </c>
      <c r="D1884" t="s">
        <v>714</v>
      </c>
      <c r="E1884" t="s">
        <v>87</v>
      </c>
      <c r="F1884" t="s">
        <v>2710</v>
      </c>
      <c r="G1884" t="str">
        <f>"00215265"</f>
        <v>00215265</v>
      </c>
      <c r="H1884">
        <v>660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V1884">
        <v>1</v>
      </c>
      <c r="W1884">
        <v>660</v>
      </c>
    </row>
    <row r="1885" spans="1:23" x14ac:dyDescent="0.25">
      <c r="H1885">
        <v>400</v>
      </c>
    </row>
    <row r="1886" spans="1:23" x14ac:dyDescent="0.25">
      <c r="A1886">
        <v>940</v>
      </c>
      <c r="B1886">
        <v>1277</v>
      </c>
      <c r="C1886" t="s">
        <v>2711</v>
      </c>
      <c r="D1886" t="s">
        <v>177</v>
      </c>
      <c r="E1886" t="s">
        <v>195</v>
      </c>
      <c r="F1886" t="s">
        <v>2712</v>
      </c>
      <c r="G1886" t="str">
        <f>"00182222"</f>
        <v>00182222</v>
      </c>
      <c r="H1886">
        <v>660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V1886">
        <v>0</v>
      </c>
      <c r="W1886">
        <v>660</v>
      </c>
    </row>
    <row r="1887" spans="1:23" x14ac:dyDescent="0.25">
      <c r="H1887">
        <v>400</v>
      </c>
    </row>
    <row r="1888" spans="1:23" x14ac:dyDescent="0.25">
      <c r="A1888">
        <v>941</v>
      </c>
      <c r="B1888">
        <v>1019</v>
      </c>
      <c r="C1888" t="s">
        <v>2713</v>
      </c>
      <c r="D1888" t="s">
        <v>2714</v>
      </c>
      <c r="E1888" t="s">
        <v>209</v>
      </c>
      <c r="F1888" t="s">
        <v>2715</v>
      </c>
      <c r="G1888" t="str">
        <f>"201406006050"</f>
        <v>201406006050</v>
      </c>
      <c r="H1888">
        <v>605</v>
      </c>
      <c r="I1888">
        <v>0</v>
      </c>
      <c r="J1888">
        <v>50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V1888">
        <v>0</v>
      </c>
      <c r="W1888">
        <v>655</v>
      </c>
    </row>
    <row r="1889" spans="1:23" x14ac:dyDescent="0.25">
      <c r="H1889">
        <v>400</v>
      </c>
    </row>
    <row r="1890" spans="1:23" x14ac:dyDescent="0.25">
      <c r="A1890">
        <v>942</v>
      </c>
      <c r="B1890">
        <v>1632</v>
      </c>
      <c r="C1890" t="s">
        <v>2716</v>
      </c>
      <c r="D1890" t="s">
        <v>511</v>
      </c>
      <c r="E1890" t="s">
        <v>15</v>
      </c>
      <c r="F1890" t="s">
        <v>2717</v>
      </c>
      <c r="G1890" t="str">
        <f>"00198139"</f>
        <v>00198139</v>
      </c>
      <c r="H1890" t="s">
        <v>2718</v>
      </c>
      <c r="I1890">
        <v>0</v>
      </c>
      <c r="J1890">
        <v>30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V1890">
        <v>2</v>
      </c>
      <c r="W1890" t="s">
        <v>2719</v>
      </c>
    </row>
    <row r="1891" spans="1:23" x14ac:dyDescent="0.25">
      <c r="H1891" t="s">
        <v>76</v>
      </c>
    </row>
    <row r="1892" spans="1:23" x14ac:dyDescent="0.25">
      <c r="A1892">
        <v>943</v>
      </c>
      <c r="B1892">
        <v>414</v>
      </c>
      <c r="C1892" t="s">
        <v>2720</v>
      </c>
      <c r="D1892" t="s">
        <v>33</v>
      </c>
      <c r="E1892" t="s">
        <v>209</v>
      </c>
      <c r="F1892" t="s">
        <v>2721</v>
      </c>
      <c r="G1892" t="str">
        <f>"201410003547"</f>
        <v>201410003547</v>
      </c>
      <c r="H1892">
        <v>583</v>
      </c>
      <c r="I1892">
        <v>0</v>
      </c>
      <c r="J1892">
        <v>30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V1892">
        <v>2</v>
      </c>
      <c r="W1892">
        <v>613</v>
      </c>
    </row>
    <row r="1893" spans="1:23" x14ac:dyDescent="0.25">
      <c r="H1893">
        <v>400</v>
      </c>
    </row>
    <row r="1894" spans="1:23" x14ac:dyDescent="0.25">
      <c r="A1894">
        <v>944</v>
      </c>
      <c r="B1894">
        <v>195</v>
      </c>
      <c r="C1894" t="s">
        <v>2722</v>
      </c>
      <c r="D1894" t="s">
        <v>942</v>
      </c>
      <c r="E1894" t="s">
        <v>27</v>
      </c>
      <c r="F1894" t="s">
        <v>2723</v>
      </c>
      <c r="G1894" t="str">
        <f>"00217885"</f>
        <v>00217885</v>
      </c>
      <c r="H1894">
        <v>550</v>
      </c>
      <c r="I1894">
        <v>0</v>
      </c>
      <c r="J1894">
        <v>50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V1894">
        <v>0</v>
      </c>
      <c r="W1894">
        <v>600</v>
      </c>
    </row>
    <row r="1895" spans="1:23" x14ac:dyDescent="0.25">
      <c r="H1895">
        <v>400</v>
      </c>
    </row>
    <row r="1896" spans="1:23" x14ac:dyDescent="0.25">
      <c r="A1896">
        <v>945</v>
      </c>
      <c r="B1896">
        <v>253</v>
      </c>
      <c r="C1896" t="s">
        <v>2724</v>
      </c>
      <c r="D1896" t="s">
        <v>2725</v>
      </c>
      <c r="E1896" t="s">
        <v>209</v>
      </c>
      <c r="F1896" t="s">
        <v>2726</v>
      </c>
      <c r="G1896" t="str">
        <f>"00217064"</f>
        <v>00217064</v>
      </c>
      <c r="H1896">
        <v>440</v>
      </c>
      <c r="I1896">
        <v>0</v>
      </c>
      <c r="J1896">
        <v>70</v>
      </c>
      <c r="K1896">
        <v>50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V1896">
        <v>0</v>
      </c>
      <c r="W1896">
        <v>560</v>
      </c>
    </row>
    <row r="1897" spans="1:23" x14ac:dyDescent="0.25">
      <c r="H1897">
        <v>400</v>
      </c>
    </row>
    <row r="1899" spans="1:23" x14ac:dyDescent="0.25">
      <c r="A1899" t="s">
        <v>2727</v>
      </c>
    </row>
    <row r="1900" spans="1:23" x14ac:dyDescent="0.25">
      <c r="A1900" t="s">
        <v>2728</v>
      </c>
    </row>
    <row r="1901" spans="1:23" x14ac:dyDescent="0.25">
      <c r="A1901" t="s">
        <v>2729</v>
      </c>
    </row>
    <row r="1902" spans="1:23" x14ac:dyDescent="0.25">
      <c r="A1902" t="s">
        <v>2730</v>
      </c>
    </row>
    <row r="1903" spans="1:23" x14ac:dyDescent="0.25">
      <c r="A1903" t="s">
        <v>2731</v>
      </c>
    </row>
    <row r="1904" spans="1:23" x14ac:dyDescent="0.25">
      <c r="A1904" t="s">
        <v>2732</v>
      </c>
    </row>
    <row r="1905" spans="1:1" x14ac:dyDescent="0.25">
      <c r="A1905" t="s">
        <v>2733</v>
      </c>
    </row>
    <row r="1906" spans="1:1" x14ac:dyDescent="0.25">
      <c r="A1906" t="s">
        <v>2734</v>
      </c>
    </row>
    <row r="1907" spans="1:1" x14ac:dyDescent="0.25">
      <c r="A1907" t="s">
        <v>2735</v>
      </c>
    </row>
    <row r="1908" spans="1:1" x14ac:dyDescent="0.25">
      <c r="A1908" t="s">
        <v>2736</v>
      </c>
    </row>
    <row r="1909" spans="1:1" x14ac:dyDescent="0.25">
      <c r="A1909" t="s">
        <v>2737</v>
      </c>
    </row>
    <row r="1910" spans="1:1" x14ac:dyDescent="0.25">
      <c r="A1910" t="s">
        <v>2738</v>
      </c>
    </row>
    <row r="1911" spans="1:1" x14ac:dyDescent="0.25">
      <c r="A1911" t="s">
        <v>2739</v>
      </c>
    </row>
    <row r="1912" spans="1:1" x14ac:dyDescent="0.25">
      <c r="A1912" t="s">
        <v>2740</v>
      </c>
    </row>
    <row r="1913" spans="1:1" x14ac:dyDescent="0.25">
      <c r="A1913" t="s">
        <v>2741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2018-10-17T09:56:39Z</dcterms:created>
  <dcterms:modified xsi:type="dcterms:W3CDTF">2018-10-17T09:56:44Z</dcterms:modified>
</cp:coreProperties>
</file>